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lid08\Downloads\"/>
    </mc:Choice>
  </mc:AlternateContent>
  <xr:revisionPtr revIDLastSave="0" documentId="13_ncr:1_{B08EEBA0-7DC2-46C0-84A0-F22DB6F448F0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FY24" sheetId="1" r:id="rId1"/>
    <sheet name="FY23" sheetId="2" state="hidden" r:id="rId2"/>
    <sheet name="Copy of FY22" sheetId="3" state="hidden" r:id="rId3"/>
    <sheet name="SFSS import" sheetId="4" state="hidden" r:id="rId4"/>
    <sheet name="Synergy import (8232022)" sheetId="5" state="hidden" r:id="rId5"/>
  </sheets>
  <definedNames>
    <definedName name="_xlnm._FilterDatabase" localSheetId="2" hidden="1">'Copy of FY22'!$A$1:$J$217</definedName>
    <definedName name="_xlnm._FilterDatabase" localSheetId="1" hidden="1">'FY23'!$A$1:$N$217</definedName>
    <definedName name="_xlnm._FilterDatabase" localSheetId="0" hidden="1">'FY24'!$A$1:$G$218</definedName>
    <definedName name="Z_5C2A8CD1_7A75_4471_AB6D_B149CF431B55_.wvu.FilterData" localSheetId="1" hidden="1">'FY23'!$A$1:$Q$217</definedName>
    <definedName name="Z_5C2A8CD1_7A75_4471_AB6D_B149CF431B55_.wvu.FilterData" localSheetId="0" hidden="1">'FY24'!$A$1:$G$218</definedName>
    <definedName name="Z_C81C101F_CB96_46FF_8555_0A67D4AE8F3D_.wvu.FilterData" localSheetId="1" hidden="1">'FY23'!$A$1:$Q$217</definedName>
    <definedName name="Z_C81C101F_CB96_46FF_8555_0A67D4AE8F3D_.wvu.FilterData" localSheetId="0" hidden="1">'FY24'!$A$1:$G$218</definedName>
    <definedName name="Z_DCF8D69F_2C1D_42AD_8FA2_F345EEC1F5E4_.wvu.FilterData" localSheetId="2" hidden="1">'Copy of FY22'!$M$1:$M$1002</definedName>
    <definedName name="Z_DCF8D69F_2C1D_42AD_8FA2_F345EEC1F5E4_.wvu.FilterData" localSheetId="1" hidden="1">'FY23'!$Q$1:$Q$1002</definedName>
  </definedNames>
  <calcPr calcId="191029"/>
  <customWorkbookViews>
    <customWorkbookView name="PCCs" guid="{C81C101F-CB96-46FF-8555-0A67D4AE8F3D}" maximized="1" windowWidth="0" windowHeight="0" activeSheetId="0"/>
    <customWorkbookView name="PCC Contact Schools" guid="{5C2A8CD1-7A75-4471-AB6D-B149CF431B55}" maximized="1" windowWidth="0" windowHeight="0" activeSheetId="0"/>
    <customWorkbookView name="Filter 1" guid="{DCF8D69F-2C1D-42AD-8FA2-F345EEC1F5E4}" maximized="1" windowWidth="0" windowHeight="0" activeSheetId="0"/>
  </customWorkbookViews>
</workbook>
</file>

<file path=xl/calcChain.xml><?xml version="1.0" encoding="utf-8"?>
<calcChain xmlns="http://schemas.openxmlformats.org/spreadsheetml/2006/main">
  <c r="F59" i="4" l="1"/>
  <c r="E59" i="4"/>
  <c r="D59" i="4"/>
  <c r="C59" i="4"/>
  <c r="B59" i="4"/>
  <c r="A59" i="4"/>
  <c r="F58" i="4"/>
  <c r="E58" i="4"/>
  <c r="D58" i="4"/>
  <c r="C58" i="4"/>
  <c r="B58" i="4"/>
  <c r="A58" i="4"/>
  <c r="F57" i="4"/>
  <c r="E57" i="4"/>
  <c r="D57" i="4"/>
  <c r="C57" i="4"/>
  <c r="B57" i="4"/>
  <c r="A57" i="4"/>
  <c r="F56" i="4"/>
  <c r="E56" i="4"/>
  <c r="D56" i="4"/>
  <c r="C56" i="4"/>
  <c r="B56" i="4"/>
  <c r="A56" i="4"/>
  <c r="F55" i="4"/>
  <c r="E55" i="4"/>
  <c r="D55" i="4"/>
  <c r="C55" i="4"/>
  <c r="B55" i="4"/>
  <c r="A55" i="4"/>
  <c r="F54" i="4"/>
  <c r="E54" i="4"/>
  <c r="D54" i="4"/>
  <c r="C54" i="4"/>
  <c r="B54" i="4"/>
  <c r="A54" i="4"/>
  <c r="F53" i="4"/>
  <c r="E53" i="4"/>
  <c r="D53" i="4"/>
  <c r="C53" i="4"/>
  <c r="B53" i="4"/>
  <c r="A53" i="4"/>
  <c r="F52" i="4"/>
  <c r="E52" i="4"/>
  <c r="D52" i="4"/>
  <c r="C52" i="4"/>
  <c r="B52" i="4"/>
  <c r="A52" i="4"/>
  <c r="F51" i="4"/>
  <c r="E51" i="4"/>
  <c r="D51" i="4"/>
  <c r="C51" i="4"/>
  <c r="B51" i="4"/>
  <c r="A51" i="4"/>
  <c r="F50" i="4"/>
  <c r="E50" i="4"/>
  <c r="D50" i="4"/>
  <c r="C50" i="4"/>
  <c r="B50" i="4"/>
  <c r="A50" i="4"/>
  <c r="F49" i="4"/>
  <c r="E49" i="4"/>
  <c r="D49" i="4"/>
  <c r="C49" i="4"/>
  <c r="B49" i="4"/>
  <c r="A49" i="4"/>
  <c r="F48" i="4"/>
  <c r="E48" i="4"/>
  <c r="D48" i="4"/>
  <c r="C48" i="4"/>
  <c r="B48" i="4"/>
  <c r="A48" i="4"/>
  <c r="F47" i="4"/>
  <c r="E47" i="4"/>
  <c r="D47" i="4"/>
  <c r="C47" i="4"/>
  <c r="B47" i="4"/>
  <c r="A47" i="4"/>
  <c r="F46" i="4"/>
  <c r="E46" i="4"/>
  <c r="D46" i="4"/>
  <c r="C46" i="4"/>
  <c r="B46" i="4"/>
  <c r="A46" i="4"/>
  <c r="F45" i="4"/>
  <c r="E45" i="4"/>
  <c r="D45" i="4"/>
  <c r="C45" i="4"/>
  <c r="B45" i="4"/>
  <c r="A45" i="4"/>
  <c r="F44" i="4"/>
  <c r="E44" i="4"/>
  <c r="D44" i="4"/>
  <c r="C44" i="4"/>
  <c r="B44" i="4"/>
  <c r="A44" i="4"/>
  <c r="F43" i="4"/>
  <c r="E43" i="4"/>
  <c r="D43" i="4"/>
  <c r="C43" i="4"/>
  <c r="B43" i="4"/>
  <c r="A43" i="4"/>
  <c r="F42" i="4"/>
  <c r="E42" i="4"/>
  <c r="D42" i="4"/>
  <c r="C42" i="4"/>
  <c r="B42" i="4"/>
  <c r="A42" i="4"/>
  <c r="F41" i="4"/>
  <c r="E41" i="4"/>
  <c r="D41" i="4"/>
  <c r="C41" i="4"/>
  <c r="B41" i="4"/>
  <c r="A41" i="4"/>
  <c r="F40" i="4"/>
  <c r="E40" i="4"/>
  <c r="D40" i="4"/>
  <c r="C40" i="4"/>
  <c r="B40" i="4"/>
  <c r="A40" i="4"/>
  <c r="F39" i="4"/>
  <c r="E39" i="4"/>
  <c r="D39" i="4"/>
  <c r="C39" i="4"/>
  <c r="B39" i="4"/>
  <c r="A39" i="4"/>
  <c r="F38" i="4"/>
  <c r="E38" i="4"/>
  <c r="D38" i="4"/>
  <c r="C38" i="4"/>
  <c r="B38" i="4"/>
  <c r="A38" i="4"/>
  <c r="F37" i="4"/>
  <c r="E37" i="4"/>
  <c r="D37" i="4"/>
  <c r="C37" i="4"/>
  <c r="B37" i="4"/>
  <c r="A37" i="4"/>
  <c r="F36" i="4"/>
  <c r="E36" i="4"/>
  <c r="D36" i="4"/>
  <c r="C36" i="4"/>
  <c r="B36" i="4"/>
  <c r="A36" i="4"/>
  <c r="F35" i="4"/>
  <c r="E35" i="4"/>
  <c r="D35" i="4"/>
  <c r="C35" i="4"/>
  <c r="B35" i="4"/>
  <c r="A35" i="4"/>
  <c r="F34" i="4"/>
  <c r="E34" i="4"/>
  <c r="D34" i="4"/>
  <c r="C34" i="4"/>
  <c r="B34" i="4"/>
  <c r="A34" i="4"/>
  <c r="F33" i="4"/>
  <c r="E33" i="4"/>
  <c r="D33" i="4"/>
  <c r="C33" i="4"/>
  <c r="B33" i="4"/>
  <c r="A33" i="4"/>
  <c r="F32" i="4"/>
  <c r="E32" i="4"/>
  <c r="D32" i="4"/>
  <c r="C32" i="4"/>
  <c r="B32" i="4"/>
  <c r="A32" i="4"/>
  <c r="F31" i="4"/>
  <c r="E31" i="4"/>
  <c r="D31" i="4"/>
  <c r="C31" i="4"/>
  <c r="B31" i="4"/>
  <c r="A31" i="4"/>
  <c r="F30" i="4"/>
  <c r="E30" i="4"/>
  <c r="D30" i="4"/>
  <c r="C30" i="4"/>
  <c r="B30" i="4"/>
  <c r="A30" i="4"/>
  <c r="F29" i="4"/>
  <c r="E29" i="4"/>
  <c r="D29" i="4"/>
  <c r="C29" i="4"/>
  <c r="B29" i="4"/>
  <c r="A29" i="4"/>
  <c r="F28" i="4"/>
  <c r="E28" i="4"/>
  <c r="D28" i="4"/>
  <c r="C28" i="4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F23" i="4"/>
  <c r="E23" i="4"/>
  <c r="D23" i="4"/>
  <c r="C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F13" i="4"/>
  <c r="E13" i="4"/>
  <c r="D13" i="4"/>
  <c r="C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F8" i="4"/>
  <c r="E8" i="4"/>
  <c r="D8" i="4"/>
  <c r="C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F3" i="4"/>
  <c r="E3" i="4"/>
  <c r="D3" i="4"/>
  <c r="C3" i="4"/>
  <c r="B3" i="4"/>
  <c r="A3" i="4"/>
  <c r="F2" i="4"/>
  <c r="E2" i="4"/>
  <c r="D2" i="4"/>
  <c r="C2" i="4"/>
  <c r="B2" i="4"/>
  <c r="A2" i="4"/>
  <c r="F1" i="4"/>
  <c r="E1" i="4"/>
  <c r="D1" i="4"/>
  <c r="C1" i="4"/>
  <c r="B1" i="4"/>
  <c r="A1" i="4"/>
  <c r="E217" i="3" a="1"/>
  <c r="E217" i="3" s="1"/>
  <c r="D217" i="3" a="1"/>
  <c r="D217" i="3" s="1"/>
  <c r="E216" i="3" a="1"/>
  <c r="E216" i="3" s="1"/>
  <c r="D216" i="3" a="1"/>
  <c r="D216" i="3" s="1"/>
  <c r="E215" i="3" a="1"/>
  <c r="E215" i="3" s="1"/>
  <c r="D215" i="3" a="1"/>
  <c r="D215" i="3" s="1"/>
  <c r="E214" i="3" a="1"/>
  <c r="E214" i="3" s="1"/>
  <c r="D214" i="3" a="1"/>
  <c r="D214" i="3" s="1"/>
  <c r="E213" i="3" a="1"/>
  <c r="E213" i="3" s="1"/>
  <c r="D213" i="3" a="1"/>
  <c r="D213" i="3" s="1"/>
  <c r="E212" i="3" a="1"/>
  <c r="E212" i="3" s="1"/>
  <c r="D212" i="3" a="1"/>
  <c r="D212" i="3" s="1"/>
  <c r="E211" i="3" a="1"/>
  <c r="E211" i="3" s="1"/>
  <c r="D211" i="3" a="1"/>
  <c r="D211" i="3" s="1"/>
  <c r="E210" i="3" a="1"/>
  <c r="E210" i="3" s="1"/>
  <c r="D210" i="3" a="1"/>
  <c r="D210" i="3" s="1"/>
  <c r="E209" i="3" a="1"/>
  <c r="E209" i="3" s="1"/>
  <c r="D209" i="3" a="1"/>
  <c r="D209" i="3" s="1"/>
  <c r="E208" i="3" a="1"/>
  <c r="E208" i="3" s="1"/>
  <c r="D208" i="3" a="1"/>
  <c r="D208" i="3" s="1"/>
  <c r="E207" i="3" a="1"/>
  <c r="E207" i="3" s="1"/>
  <c r="D207" i="3" a="1"/>
  <c r="D207" i="3" s="1"/>
  <c r="E206" i="3" a="1"/>
  <c r="E206" i="3" s="1"/>
  <c r="D206" i="3" a="1"/>
  <c r="D206" i="3" s="1"/>
  <c r="E205" i="3" a="1"/>
  <c r="E205" i="3" s="1"/>
  <c r="D205" i="3" a="1"/>
  <c r="D205" i="3" s="1"/>
  <c r="E204" i="3" a="1"/>
  <c r="E204" i="3" s="1"/>
  <c r="D204" i="3" a="1"/>
  <c r="D204" i="3" s="1"/>
  <c r="E203" i="3" a="1"/>
  <c r="E203" i="3" s="1"/>
  <c r="D203" i="3" a="1"/>
  <c r="D203" i="3" s="1"/>
  <c r="E202" i="3" a="1"/>
  <c r="E202" i="3" s="1"/>
  <c r="D202" i="3" a="1"/>
  <c r="D202" i="3" s="1"/>
  <c r="E201" i="3" a="1"/>
  <c r="E201" i="3" s="1"/>
  <c r="D201" i="3" a="1"/>
  <c r="D201" i="3" s="1"/>
  <c r="E200" i="3" a="1"/>
  <c r="E200" i="3" s="1"/>
  <c r="D200" i="3" a="1"/>
  <c r="D200" i="3" s="1"/>
  <c r="E199" i="3" a="1"/>
  <c r="E199" i="3" s="1"/>
  <c r="D199" i="3" a="1"/>
  <c r="D199" i="3" s="1"/>
  <c r="E198" i="3" a="1"/>
  <c r="E198" i="3" s="1"/>
  <c r="D198" i="3" a="1"/>
  <c r="D198" i="3" s="1"/>
  <c r="E197" i="3" a="1"/>
  <c r="E197" i="3" s="1"/>
  <c r="D197" i="3" a="1"/>
  <c r="D197" i="3" s="1"/>
  <c r="E196" i="3" a="1"/>
  <c r="E196" i="3" s="1"/>
  <c r="D196" i="3" a="1"/>
  <c r="D196" i="3" s="1"/>
  <c r="E195" i="3" a="1"/>
  <c r="E195" i="3" s="1"/>
  <c r="D195" i="3" a="1"/>
  <c r="D195" i="3" s="1"/>
  <c r="E194" i="3" a="1"/>
  <c r="E194" i="3" s="1"/>
  <c r="D194" i="3" a="1"/>
  <c r="D194" i="3" s="1"/>
  <c r="E193" i="3" a="1"/>
  <c r="E193" i="3" s="1"/>
  <c r="D193" i="3" a="1"/>
  <c r="D193" i="3" s="1"/>
  <c r="E192" i="3" a="1"/>
  <c r="E192" i="3" s="1"/>
  <c r="D192" i="3" a="1"/>
  <c r="D192" i="3" s="1"/>
  <c r="E191" i="3" a="1"/>
  <c r="E191" i="3" s="1"/>
  <c r="D191" i="3" a="1"/>
  <c r="D191" i="3" s="1"/>
  <c r="E190" i="3" a="1"/>
  <c r="E190" i="3" s="1"/>
  <c r="D190" i="3" a="1"/>
  <c r="D190" i="3" s="1"/>
  <c r="E189" i="3" a="1"/>
  <c r="E189" i="3" s="1"/>
  <c r="D189" i="3" a="1"/>
  <c r="D189" i="3" s="1"/>
  <c r="E188" i="3" a="1"/>
  <c r="E188" i="3" s="1"/>
  <c r="D188" i="3" a="1"/>
  <c r="D188" i="3" s="1"/>
  <c r="E187" i="3" a="1"/>
  <c r="E187" i="3" s="1"/>
  <c r="D187" i="3" a="1"/>
  <c r="D187" i="3" s="1"/>
  <c r="E186" i="3" a="1"/>
  <c r="E186" i="3" s="1"/>
  <c r="D186" i="3" a="1"/>
  <c r="D186" i="3" s="1"/>
  <c r="E185" i="3" a="1"/>
  <c r="E185" i="3" s="1"/>
  <c r="D185" i="3" a="1"/>
  <c r="D185" i="3" s="1"/>
  <c r="E184" i="3" a="1"/>
  <c r="E184" i="3" s="1"/>
  <c r="D184" i="3" a="1"/>
  <c r="D184" i="3" s="1"/>
  <c r="E183" i="3" a="1"/>
  <c r="E183" i="3" s="1"/>
  <c r="D183" i="3" a="1"/>
  <c r="D183" i="3" s="1"/>
  <c r="E182" i="3" a="1"/>
  <c r="E182" i="3" s="1"/>
  <c r="D182" i="3" a="1"/>
  <c r="D182" i="3" s="1"/>
  <c r="E181" i="3" a="1"/>
  <c r="E181" i="3" s="1"/>
  <c r="D181" i="3" a="1"/>
  <c r="D181" i="3" s="1"/>
  <c r="E180" i="3" a="1"/>
  <c r="E180" i="3" s="1"/>
  <c r="D180" i="3" a="1"/>
  <c r="D180" i="3" s="1"/>
  <c r="E179" i="3" a="1"/>
  <c r="E179" i="3" s="1"/>
  <c r="D179" i="3" a="1"/>
  <c r="D179" i="3" s="1"/>
  <c r="E178" i="3" a="1"/>
  <c r="E178" i="3" s="1"/>
  <c r="D178" i="3" a="1"/>
  <c r="D178" i="3" s="1"/>
  <c r="E177" i="3" a="1"/>
  <c r="E177" i="3" s="1"/>
  <c r="D177" i="3" a="1"/>
  <c r="D177" i="3" s="1"/>
  <c r="E176" i="3" a="1"/>
  <c r="E176" i="3" s="1"/>
  <c r="D176" i="3" a="1"/>
  <c r="D176" i="3" s="1"/>
  <c r="E175" i="3" a="1"/>
  <c r="E175" i="3" s="1"/>
  <c r="D175" i="3" a="1"/>
  <c r="D175" i="3" s="1"/>
  <c r="E174" i="3" a="1"/>
  <c r="E174" i="3" s="1"/>
  <c r="D174" i="3" a="1"/>
  <c r="D174" i="3" s="1"/>
  <c r="E173" i="3" a="1"/>
  <c r="E173" i="3" s="1"/>
  <c r="D173" i="3" a="1"/>
  <c r="D173" i="3" s="1"/>
  <c r="E172" i="3" a="1"/>
  <c r="E172" i="3" s="1"/>
  <c r="D172" i="3" a="1"/>
  <c r="D172" i="3" s="1"/>
  <c r="E171" i="3" a="1"/>
  <c r="E171" i="3" s="1"/>
  <c r="D171" i="3" a="1"/>
  <c r="D171" i="3" s="1"/>
  <c r="E170" i="3" a="1"/>
  <c r="E170" i="3" s="1"/>
  <c r="D170" i="3" a="1"/>
  <c r="D170" i="3" s="1"/>
  <c r="E169" i="3" a="1"/>
  <c r="E169" i="3" s="1"/>
  <c r="D169" i="3" a="1"/>
  <c r="D169" i="3" s="1"/>
  <c r="E168" i="3" a="1"/>
  <c r="E168" i="3" s="1"/>
  <c r="D168" i="3" a="1"/>
  <c r="D168" i="3" s="1"/>
  <c r="E167" i="3" a="1"/>
  <c r="E167" i="3" s="1"/>
  <c r="D167" i="3" a="1"/>
  <c r="D167" i="3" s="1"/>
  <c r="E166" i="3" a="1"/>
  <c r="E166" i="3" s="1"/>
  <c r="D166" i="3" a="1"/>
  <c r="D166" i="3" s="1"/>
  <c r="E165" i="3" a="1"/>
  <c r="E165" i="3" s="1"/>
  <c r="D165" i="3" a="1"/>
  <c r="D165" i="3" s="1"/>
  <c r="E164" i="3" a="1"/>
  <c r="E164" i="3" s="1"/>
  <c r="D164" i="3" a="1"/>
  <c r="D164" i="3" s="1"/>
  <c r="E163" i="3" a="1"/>
  <c r="E163" i="3" s="1"/>
  <c r="D163" i="3" a="1"/>
  <c r="D163" i="3" s="1"/>
  <c r="E162" i="3" a="1"/>
  <c r="E162" i="3" s="1"/>
  <c r="D162" i="3" a="1"/>
  <c r="D162" i="3" s="1"/>
  <c r="E161" i="3" a="1"/>
  <c r="E161" i="3" s="1"/>
  <c r="D161" i="3" a="1"/>
  <c r="D161" i="3" s="1"/>
  <c r="E160" i="3" a="1"/>
  <c r="E160" i="3" s="1"/>
  <c r="D160" i="3" a="1"/>
  <c r="D160" i="3" s="1"/>
  <c r="E159" i="3" a="1"/>
  <c r="E159" i="3" s="1"/>
  <c r="D159" i="3" a="1"/>
  <c r="D159" i="3" s="1"/>
  <c r="E158" i="3" a="1"/>
  <c r="E158" i="3" s="1"/>
  <c r="D158" i="3" a="1"/>
  <c r="D158" i="3" s="1"/>
  <c r="E157" i="3" a="1"/>
  <c r="E157" i="3" s="1"/>
  <c r="D157" i="3" a="1"/>
  <c r="D157" i="3" s="1"/>
  <c r="E156" i="3" a="1"/>
  <c r="E156" i="3" s="1"/>
  <c r="D156" i="3" a="1"/>
  <c r="D156" i="3" s="1"/>
  <c r="E155" i="3" a="1"/>
  <c r="E155" i="3" s="1"/>
  <c r="D155" i="3" a="1"/>
  <c r="D155" i="3" s="1"/>
  <c r="E154" i="3" a="1"/>
  <c r="E154" i="3" s="1"/>
  <c r="D154" i="3" a="1"/>
  <c r="D154" i="3" s="1"/>
  <c r="E153" i="3" a="1"/>
  <c r="E153" i="3" s="1"/>
  <c r="D153" i="3" a="1"/>
  <c r="D153" i="3" s="1"/>
  <c r="E152" i="3" a="1"/>
  <c r="E152" i="3" s="1"/>
  <c r="D152" i="3" a="1"/>
  <c r="D152" i="3" s="1"/>
  <c r="E151" i="3" a="1"/>
  <c r="E151" i="3" s="1"/>
  <c r="D151" i="3" a="1"/>
  <c r="D151" i="3" s="1"/>
  <c r="E150" i="3" a="1"/>
  <c r="E150" i="3" s="1"/>
  <c r="D150" i="3" a="1"/>
  <c r="D150" i="3" s="1"/>
  <c r="E149" i="3" a="1"/>
  <c r="E149" i="3" s="1"/>
  <c r="D149" i="3" a="1"/>
  <c r="D149" i="3" s="1"/>
  <c r="E148" i="3" a="1"/>
  <c r="E148" i="3" s="1"/>
  <c r="D148" i="3" a="1"/>
  <c r="D148" i="3" s="1"/>
  <c r="E147" i="3" a="1"/>
  <c r="E147" i="3" s="1"/>
  <c r="D147" i="3" a="1"/>
  <c r="D147" i="3" s="1"/>
  <c r="E146" i="3" a="1"/>
  <c r="E146" i="3" s="1"/>
  <c r="D146" i="3" a="1"/>
  <c r="D146" i="3" s="1"/>
  <c r="E145" i="3" a="1"/>
  <c r="E145" i="3" s="1"/>
  <c r="D145" i="3" a="1"/>
  <c r="D145" i="3" s="1"/>
  <c r="E144" i="3" a="1"/>
  <c r="E144" i="3" s="1"/>
  <c r="D144" i="3" a="1"/>
  <c r="D144" i="3" s="1"/>
  <c r="E143" i="3" a="1"/>
  <c r="E143" i="3" s="1"/>
  <c r="D143" i="3" a="1"/>
  <c r="D143" i="3" s="1"/>
  <c r="E142" i="3" a="1"/>
  <c r="E142" i="3" s="1"/>
  <c r="D142" i="3" a="1"/>
  <c r="D142" i="3" s="1"/>
  <c r="E141" i="3" a="1"/>
  <c r="E141" i="3" s="1"/>
  <c r="D141" i="3" a="1"/>
  <c r="D141" i="3" s="1"/>
  <c r="E140" i="3" a="1"/>
  <c r="E140" i="3" s="1"/>
  <c r="D140" i="3" a="1"/>
  <c r="D140" i="3" s="1"/>
  <c r="E139" i="3" a="1"/>
  <c r="E139" i="3" s="1"/>
  <c r="D139" i="3" a="1"/>
  <c r="D139" i="3" s="1"/>
  <c r="E138" i="3" a="1"/>
  <c r="E138" i="3" s="1"/>
  <c r="D138" i="3" a="1"/>
  <c r="D138" i="3" s="1"/>
  <c r="E137" i="3" a="1"/>
  <c r="E137" i="3" s="1"/>
  <c r="D137" i="3" a="1"/>
  <c r="D137" i="3" s="1"/>
  <c r="E136" i="3" a="1"/>
  <c r="E136" i="3" s="1"/>
  <c r="D136" i="3" a="1"/>
  <c r="D136" i="3" s="1"/>
  <c r="E135" i="3" a="1"/>
  <c r="E135" i="3" s="1"/>
  <c r="D135" i="3" a="1"/>
  <c r="D135" i="3" s="1"/>
  <c r="E134" i="3" a="1"/>
  <c r="E134" i="3" s="1"/>
  <c r="D134" i="3" a="1"/>
  <c r="D134" i="3" s="1"/>
  <c r="E133" i="3" a="1"/>
  <c r="E133" i="3" s="1"/>
  <c r="D133" i="3" a="1"/>
  <c r="D133" i="3" s="1"/>
  <c r="E132" i="3" a="1"/>
  <c r="E132" i="3" s="1"/>
  <c r="D132" i="3" a="1"/>
  <c r="D132" i="3" s="1"/>
  <c r="E131" i="3" a="1"/>
  <c r="E131" i="3" s="1"/>
  <c r="D131" i="3" a="1"/>
  <c r="D131" i="3" s="1"/>
  <c r="E130" i="3" a="1"/>
  <c r="E130" i="3" s="1"/>
  <c r="D130" i="3" a="1"/>
  <c r="D130" i="3" s="1"/>
  <c r="E129" i="3" a="1"/>
  <c r="E129" i="3" s="1"/>
  <c r="D129" i="3" a="1"/>
  <c r="D129" i="3" s="1"/>
  <c r="E128" i="3" a="1"/>
  <c r="E128" i="3" s="1"/>
  <c r="D128" i="3" a="1"/>
  <c r="D128" i="3" s="1"/>
  <c r="E127" i="3" a="1"/>
  <c r="E127" i="3" s="1"/>
  <c r="D127" i="3" a="1"/>
  <c r="D127" i="3" s="1"/>
  <c r="E126" i="3" a="1"/>
  <c r="E126" i="3" s="1"/>
  <c r="D126" i="3" a="1"/>
  <c r="D126" i="3" s="1"/>
  <c r="E125" i="3" a="1"/>
  <c r="E125" i="3" s="1"/>
  <c r="D125" i="3" a="1"/>
  <c r="D125" i="3" s="1"/>
  <c r="E124" i="3" a="1"/>
  <c r="E124" i="3" s="1"/>
  <c r="D124" i="3" a="1"/>
  <c r="D124" i="3" s="1"/>
  <c r="E123" i="3" a="1"/>
  <c r="E123" i="3" s="1"/>
  <c r="D123" i="3" a="1"/>
  <c r="D123" i="3" s="1"/>
  <c r="E122" i="3" a="1"/>
  <c r="E122" i="3" s="1"/>
  <c r="D122" i="3" a="1"/>
  <c r="D122" i="3" s="1"/>
  <c r="E121" i="3" a="1"/>
  <c r="E121" i="3" s="1"/>
  <c r="D121" i="3" a="1"/>
  <c r="D121" i="3" s="1"/>
  <c r="E120" i="3" a="1"/>
  <c r="E120" i="3" s="1"/>
  <c r="D120" i="3" a="1"/>
  <c r="D120" i="3" s="1"/>
  <c r="E119" i="3" a="1"/>
  <c r="E119" i="3" s="1"/>
  <c r="D119" i="3" a="1"/>
  <c r="D119" i="3" s="1"/>
  <c r="E118" i="3" a="1"/>
  <c r="E118" i="3" s="1"/>
  <c r="D118" i="3" a="1"/>
  <c r="D118" i="3" s="1"/>
  <c r="E117" i="3" a="1"/>
  <c r="E117" i="3" s="1"/>
  <c r="D117" i="3" a="1"/>
  <c r="D117" i="3" s="1"/>
  <c r="E116" i="3" a="1"/>
  <c r="E116" i="3" s="1"/>
  <c r="D116" i="3" a="1"/>
  <c r="D116" i="3" s="1"/>
  <c r="E115" i="3" a="1"/>
  <c r="E115" i="3" s="1"/>
  <c r="D115" i="3" a="1"/>
  <c r="D115" i="3" s="1"/>
  <c r="E114" i="3" a="1"/>
  <c r="E114" i="3" s="1"/>
  <c r="D114" i="3" a="1"/>
  <c r="D114" i="3" s="1"/>
  <c r="E113" i="3" a="1"/>
  <c r="E113" i="3" s="1"/>
  <c r="D113" i="3" a="1"/>
  <c r="D113" i="3" s="1"/>
  <c r="E112" i="3" a="1"/>
  <c r="E112" i="3" s="1"/>
  <c r="D112" i="3" a="1"/>
  <c r="D112" i="3" s="1"/>
  <c r="E111" i="3" a="1"/>
  <c r="E111" i="3" s="1"/>
  <c r="D111" i="3" a="1"/>
  <c r="D111" i="3" s="1"/>
  <c r="E110" i="3" a="1"/>
  <c r="E110" i="3" s="1"/>
  <c r="D110" i="3" a="1"/>
  <c r="D110" i="3" s="1"/>
  <c r="E109" i="3" a="1"/>
  <c r="E109" i="3" s="1"/>
  <c r="D109" i="3" a="1"/>
  <c r="D109" i="3" s="1"/>
  <c r="E108" i="3" a="1"/>
  <c r="E108" i="3" s="1"/>
  <c r="D108" i="3" a="1"/>
  <c r="D108" i="3" s="1"/>
  <c r="E107" i="3" a="1"/>
  <c r="E107" i="3" s="1"/>
  <c r="D107" i="3" a="1"/>
  <c r="D107" i="3" s="1"/>
  <c r="E106" i="3" a="1"/>
  <c r="E106" i="3" s="1"/>
  <c r="D106" i="3" a="1"/>
  <c r="D106" i="3" s="1"/>
  <c r="E105" i="3" a="1"/>
  <c r="E105" i="3" s="1"/>
  <c r="D105" i="3" a="1"/>
  <c r="D105" i="3" s="1"/>
  <c r="E104" i="3" a="1"/>
  <c r="E104" i="3" s="1"/>
  <c r="D104" i="3" a="1"/>
  <c r="D104" i="3" s="1"/>
  <c r="E103" i="3" a="1"/>
  <c r="E103" i="3" s="1"/>
  <c r="D103" i="3" a="1"/>
  <c r="D103" i="3" s="1"/>
  <c r="E102" i="3" a="1"/>
  <c r="E102" i="3" s="1"/>
  <c r="D102" i="3" a="1"/>
  <c r="D102" i="3" s="1"/>
  <c r="E101" i="3" a="1"/>
  <c r="E101" i="3" s="1"/>
  <c r="D101" i="3" a="1"/>
  <c r="D101" i="3" s="1"/>
  <c r="E100" i="3" a="1"/>
  <c r="E100" i="3" s="1"/>
  <c r="D100" i="3" a="1"/>
  <c r="D100" i="3" s="1"/>
  <c r="E99" i="3" a="1"/>
  <c r="E99" i="3" s="1"/>
  <c r="D99" i="3" a="1"/>
  <c r="D99" i="3" s="1"/>
  <c r="E98" i="3" a="1"/>
  <c r="E98" i="3" s="1"/>
  <c r="D98" i="3" a="1"/>
  <c r="D98" i="3" s="1"/>
  <c r="E97" i="3" a="1"/>
  <c r="E97" i="3" s="1"/>
  <c r="D97" i="3" a="1"/>
  <c r="D97" i="3" s="1"/>
  <c r="E96" i="3" a="1"/>
  <c r="E96" i="3" s="1"/>
  <c r="D96" i="3" a="1"/>
  <c r="D96" i="3" s="1"/>
  <c r="E95" i="3" a="1"/>
  <c r="E95" i="3" s="1"/>
  <c r="D95" i="3" a="1"/>
  <c r="D95" i="3" s="1"/>
  <c r="E94" i="3" a="1"/>
  <c r="E94" i="3" s="1"/>
  <c r="D94" i="3" a="1"/>
  <c r="D94" i="3" s="1"/>
  <c r="E93" i="3" a="1"/>
  <c r="E93" i="3" s="1"/>
  <c r="D93" i="3" a="1"/>
  <c r="D93" i="3" s="1"/>
  <c r="E92" i="3" a="1"/>
  <c r="E92" i="3" s="1"/>
  <c r="D92" i="3" a="1"/>
  <c r="D92" i="3" s="1"/>
  <c r="E91" i="3" a="1"/>
  <c r="E91" i="3" s="1"/>
  <c r="D91" i="3" a="1"/>
  <c r="D91" i="3" s="1"/>
  <c r="E90" i="3" a="1"/>
  <c r="E90" i="3" s="1"/>
  <c r="D90" i="3" a="1"/>
  <c r="D90" i="3" s="1"/>
  <c r="E89" i="3" a="1"/>
  <c r="E89" i="3" s="1"/>
  <c r="D89" i="3" a="1"/>
  <c r="D89" i="3" s="1"/>
  <c r="E88" i="3" a="1"/>
  <c r="E88" i="3" s="1"/>
  <c r="D88" i="3" a="1"/>
  <c r="D88" i="3" s="1"/>
  <c r="E87" i="3" a="1"/>
  <c r="E87" i="3" s="1"/>
  <c r="D87" i="3" a="1"/>
  <c r="D87" i="3" s="1"/>
  <c r="E86" i="3" a="1"/>
  <c r="E86" i="3" s="1"/>
  <c r="D86" i="3" a="1"/>
  <c r="D86" i="3" s="1"/>
  <c r="E85" i="3" a="1"/>
  <c r="E85" i="3" s="1"/>
  <c r="D85" i="3" a="1"/>
  <c r="D85" i="3" s="1"/>
  <c r="E84" i="3" a="1"/>
  <c r="E84" i="3" s="1"/>
  <c r="D84" i="3" a="1"/>
  <c r="D84" i="3" s="1"/>
  <c r="E83" i="3" a="1"/>
  <c r="E83" i="3" s="1"/>
  <c r="D83" i="3" a="1"/>
  <c r="D83" i="3" s="1"/>
  <c r="E82" i="3" a="1"/>
  <c r="E82" i="3" s="1"/>
  <c r="D82" i="3" a="1"/>
  <c r="D82" i="3" s="1"/>
  <c r="E81" i="3" a="1"/>
  <c r="E81" i="3" s="1"/>
  <c r="D81" i="3" a="1"/>
  <c r="D81" i="3" s="1"/>
  <c r="E80" i="3" a="1"/>
  <c r="E80" i="3" s="1"/>
  <c r="D80" i="3" a="1"/>
  <c r="D80" i="3" s="1"/>
  <c r="E79" i="3" a="1"/>
  <c r="E79" i="3" s="1"/>
  <c r="D79" i="3" a="1"/>
  <c r="D79" i="3" s="1"/>
  <c r="E78" i="3" a="1"/>
  <c r="E78" i="3" s="1"/>
  <c r="D78" i="3" a="1"/>
  <c r="D78" i="3" s="1"/>
  <c r="E77" i="3" a="1"/>
  <c r="E77" i="3" s="1"/>
  <c r="D77" i="3" a="1"/>
  <c r="D77" i="3" s="1"/>
  <c r="E76" i="3" a="1"/>
  <c r="E76" i="3" s="1"/>
  <c r="D76" i="3" a="1"/>
  <c r="D76" i="3" s="1"/>
  <c r="E75" i="3" a="1"/>
  <c r="E75" i="3" s="1"/>
  <c r="D75" i="3" a="1"/>
  <c r="D75" i="3" s="1"/>
  <c r="E74" i="3" a="1"/>
  <c r="E74" i="3" s="1"/>
  <c r="D74" i="3" a="1"/>
  <c r="D74" i="3" s="1"/>
  <c r="E73" i="3" a="1"/>
  <c r="E73" i="3" s="1"/>
  <c r="D73" i="3" a="1"/>
  <c r="D73" i="3" s="1"/>
  <c r="E72" i="3" a="1"/>
  <c r="E72" i="3" s="1"/>
  <c r="D72" i="3" a="1"/>
  <c r="D72" i="3" s="1"/>
  <c r="E71" i="3" a="1"/>
  <c r="E71" i="3" s="1"/>
  <c r="D71" i="3" a="1"/>
  <c r="D71" i="3" s="1"/>
  <c r="E70" i="3" a="1"/>
  <c r="E70" i="3" s="1"/>
  <c r="D70" i="3" a="1"/>
  <c r="D70" i="3" s="1"/>
  <c r="E69" i="3" a="1"/>
  <c r="E69" i="3" s="1"/>
  <c r="D69" i="3" a="1"/>
  <c r="D69" i="3" s="1"/>
  <c r="E68" i="3" a="1"/>
  <c r="E68" i="3" s="1"/>
  <c r="D68" i="3" a="1"/>
  <c r="D68" i="3" s="1"/>
  <c r="E67" i="3" a="1"/>
  <c r="E67" i="3" s="1"/>
  <c r="D67" i="3" a="1"/>
  <c r="D67" i="3" s="1"/>
  <c r="E66" i="3" a="1"/>
  <c r="E66" i="3" s="1"/>
  <c r="D66" i="3" a="1"/>
  <c r="D66" i="3" s="1"/>
  <c r="E65" i="3" a="1"/>
  <c r="E65" i="3" s="1"/>
  <c r="D65" i="3" a="1"/>
  <c r="D65" i="3" s="1"/>
  <c r="E64" i="3" a="1"/>
  <c r="E64" i="3" s="1"/>
  <c r="D64" i="3" a="1"/>
  <c r="D64" i="3" s="1"/>
  <c r="E63" i="3" a="1"/>
  <c r="E63" i="3" s="1"/>
  <c r="D63" i="3" a="1"/>
  <c r="D63" i="3" s="1"/>
  <c r="E62" i="3" a="1"/>
  <c r="E62" i="3" s="1"/>
  <c r="D62" i="3" a="1"/>
  <c r="D62" i="3" s="1"/>
  <c r="E61" i="3" a="1"/>
  <c r="E61" i="3" s="1"/>
  <c r="D61" i="3" a="1"/>
  <c r="D61" i="3" s="1"/>
  <c r="E60" i="3" a="1"/>
  <c r="E60" i="3" s="1"/>
  <c r="D60" i="3" a="1"/>
  <c r="D60" i="3" s="1"/>
  <c r="E59" i="3" a="1"/>
  <c r="E59" i="3" s="1"/>
  <c r="D59" i="3" a="1"/>
  <c r="D59" i="3" s="1"/>
  <c r="E58" i="3" a="1"/>
  <c r="E58" i="3" s="1"/>
  <c r="D58" i="3" a="1"/>
  <c r="D58" i="3" s="1"/>
  <c r="E57" i="3" a="1"/>
  <c r="E57" i="3" s="1"/>
  <c r="D57" i="3" a="1"/>
  <c r="D57" i="3" s="1"/>
  <c r="E56" i="3" a="1"/>
  <c r="E56" i="3" s="1"/>
  <c r="D56" i="3" a="1"/>
  <c r="D56" i="3" s="1"/>
  <c r="E55" i="3" a="1"/>
  <c r="E55" i="3" s="1"/>
  <c r="D55" i="3" a="1"/>
  <c r="D55" i="3" s="1"/>
  <c r="E54" i="3" a="1"/>
  <c r="E54" i="3" s="1"/>
  <c r="D54" i="3" a="1"/>
  <c r="D54" i="3" s="1"/>
  <c r="E53" i="3" a="1"/>
  <c r="E53" i="3" s="1"/>
  <c r="D53" i="3" a="1"/>
  <c r="D53" i="3" s="1"/>
  <c r="E52" i="3" a="1"/>
  <c r="E52" i="3" s="1"/>
  <c r="D52" i="3" a="1"/>
  <c r="D52" i="3" s="1"/>
  <c r="E51" i="3" a="1"/>
  <c r="E51" i="3" s="1"/>
  <c r="D51" i="3" a="1"/>
  <c r="D51" i="3" s="1"/>
  <c r="E50" i="3" a="1"/>
  <c r="E50" i="3" s="1"/>
  <c r="D50" i="3" a="1"/>
  <c r="D50" i="3" s="1"/>
  <c r="E49" i="3" a="1"/>
  <c r="E49" i="3" s="1"/>
  <c r="D49" i="3" a="1"/>
  <c r="D49" i="3" s="1"/>
  <c r="E48" i="3" a="1"/>
  <c r="E48" i="3" s="1"/>
  <c r="D48" i="3" a="1"/>
  <c r="D48" i="3" s="1"/>
  <c r="E47" i="3" a="1"/>
  <c r="E47" i="3" s="1"/>
  <c r="D47" i="3" a="1"/>
  <c r="D47" i="3" s="1"/>
  <c r="E46" i="3" a="1"/>
  <c r="E46" i="3" s="1"/>
  <c r="D46" i="3" a="1"/>
  <c r="D46" i="3"/>
  <c r="E45" i="3" a="1"/>
  <c r="E45" i="3"/>
  <c r="D45" i="3" a="1"/>
  <c r="D45" i="3" s="1"/>
  <c r="E44" i="3" a="1"/>
  <c r="E44" i="3" s="1"/>
  <c r="D44" i="3" a="1"/>
  <c r="D44" i="3"/>
  <c r="E43" i="3" a="1"/>
  <c r="E43" i="3" s="1"/>
  <c r="D43" i="3" a="1"/>
  <c r="D43" i="3" s="1"/>
  <c r="E42" i="3" a="1"/>
  <c r="E42" i="3" s="1"/>
  <c r="D42" i="3" a="1"/>
  <c r="D42" i="3"/>
  <c r="E41" i="3" a="1"/>
  <c r="E41" i="3" s="1"/>
  <c r="D41" i="3" a="1"/>
  <c r="D41" i="3" s="1"/>
  <c r="E40" i="3" a="1"/>
  <c r="E40" i="3" s="1"/>
  <c r="D40" i="3" a="1"/>
  <c r="D40" i="3"/>
  <c r="E39" i="3" a="1"/>
  <c r="E39" i="3" s="1"/>
  <c r="D39" i="3" a="1"/>
  <c r="D39" i="3" s="1"/>
  <c r="E38" i="3" a="1"/>
  <c r="E38" i="3" s="1"/>
  <c r="D38" i="3" a="1"/>
  <c r="D38" i="3" s="1"/>
  <c r="E37" i="3" a="1"/>
  <c r="E37" i="3"/>
  <c r="D37" i="3" a="1"/>
  <c r="D37" i="3" s="1"/>
  <c r="E36" i="3" a="1"/>
  <c r="E36" i="3" s="1"/>
  <c r="D36" i="3" a="1"/>
  <c r="D36" i="3" s="1"/>
  <c r="E35" i="3" a="1"/>
  <c r="E35" i="3" s="1"/>
  <c r="D35" i="3" a="1"/>
  <c r="D35" i="3" s="1"/>
  <c r="E34" i="3" a="1"/>
  <c r="E34" i="3" s="1"/>
  <c r="D34" i="3" a="1"/>
  <c r="D34" i="3" s="1"/>
  <c r="E33" i="3" a="1"/>
  <c r="E33" i="3" s="1"/>
  <c r="D33" i="3" a="1"/>
  <c r="D33" i="3" s="1"/>
  <c r="E32" i="3" a="1"/>
  <c r="E32" i="3" s="1"/>
  <c r="D32" i="3" a="1"/>
  <c r="D32" i="3"/>
  <c r="E31" i="3" a="1"/>
  <c r="E31" i="3" s="1"/>
  <c r="D31" i="3" a="1"/>
  <c r="D31" i="3" s="1"/>
  <c r="E30" i="3" a="1"/>
  <c r="E30" i="3" s="1"/>
  <c r="D30" i="3" a="1"/>
  <c r="D30" i="3" s="1"/>
  <c r="E29" i="3" a="1"/>
  <c r="E29" i="3"/>
  <c r="D29" i="3" a="1"/>
  <c r="D29" i="3" s="1"/>
  <c r="E28" i="3" a="1"/>
  <c r="E28" i="3" s="1"/>
  <c r="D28" i="3" a="1"/>
  <c r="D28" i="3" s="1"/>
  <c r="E27" i="3" a="1"/>
  <c r="E27" i="3" s="1"/>
  <c r="D27" i="3" a="1"/>
  <c r="D27" i="3" s="1"/>
  <c r="E26" i="3" a="1"/>
  <c r="E26" i="3" s="1"/>
  <c r="D26" i="3" a="1"/>
  <c r="D26" i="3" s="1"/>
  <c r="E25" i="3" a="1"/>
  <c r="E25" i="3" s="1"/>
  <c r="D25" i="3" a="1"/>
  <c r="D25" i="3" s="1"/>
  <c r="E24" i="3" a="1"/>
  <c r="E24" i="3" s="1"/>
  <c r="D24" i="3" a="1"/>
  <c r="D24" i="3"/>
  <c r="E23" i="3" a="1"/>
  <c r="E23" i="3"/>
  <c r="D23" i="3" a="1"/>
  <c r="D23" i="3" s="1"/>
  <c r="E22" i="3" a="1"/>
  <c r="E22" i="3" s="1"/>
  <c r="D22" i="3" a="1"/>
  <c r="D22" i="3" s="1"/>
  <c r="E21" i="3" a="1"/>
  <c r="E21" i="3"/>
  <c r="D21" i="3" a="1"/>
  <c r="D21" i="3" s="1"/>
  <c r="E20" i="3" a="1"/>
  <c r="E20" i="3" s="1"/>
  <c r="D20" i="3" a="1"/>
  <c r="D20" i="3" s="1"/>
  <c r="E19" i="3" a="1"/>
  <c r="E19" i="3" s="1"/>
  <c r="D19" i="3" a="1"/>
  <c r="D19" i="3" s="1"/>
  <c r="E18" i="3" a="1"/>
  <c r="E18" i="3" s="1"/>
  <c r="D18" i="3" a="1"/>
  <c r="D18" i="3" s="1"/>
  <c r="E17" i="3" a="1"/>
  <c r="E17" i="3" s="1"/>
  <c r="D17" i="3" a="1"/>
  <c r="D17" i="3" s="1"/>
  <c r="E16" i="3" a="1"/>
  <c r="E16" i="3" s="1"/>
  <c r="D16" i="3" a="1"/>
  <c r="D16" i="3"/>
  <c r="E15" i="3" a="1"/>
  <c r="E15" i="3" s="1"/>
  <c r="D15" i="3" a="1"/>
  <c r="D15" i="3" s="1"/>
  <c r="E14" i="3" a="1"/>
  <c r="E14" i="3" s="1"/>
  <c r="D14" i="3" a="1"/>
  <c r="D14" i="3" s="1"/>
  <c r="E13" i="3" a="1"/>
  <c r="E13" i="3"/>
  <c r="D13" i="3" a="1"/>
  <c r="D13" i="3" s="1"/>
  <c r="E12" i="3" a="1"/>
  <c r="E12" i="3" s="1"/>
  <c r="D12" i="3" a="1"/>
  <c r="D12" i="3" s="1"/>
  <c r="E11" i="3" a="1"/>
  <c r="E11" i="3" s="1"/>
  <c r="D11" i="3" a="1"/>
  <c r="D11" i="3" s="1"/>
  <c r="E10" i="3" a="1"/>
  <c r="E10" i="3" s="1"/>
  <c r="D10" i="3" a="1"/>
  <c r="D10" i="3" s="1"/>
  <c r="E9" i="3" a="1"/>
  <c r="E9" i="3" s="1"/>
  <c r="D9" i="3" a="1"/>
  <c r="D9" i="3" s="1"/>
  <c r="E8" i="3" a="1"/>
  <c r="E8" i="3" s="1"/>
  <c r="D8" i="3" a="1"/>
  <c r="D8" i="3"/>
  <c r="E7" i="3" a="1"/>
  <c r="E7" i="3" s="1"/>
  <c r="D7" i="3" a="1"/>
  <c r="D7" i="3" s="1"/>
  <c r="E6" i="3" a="1"/>
  <c r="E6" i="3" s="1"/>
  <c r="D6" i="3" a="1"/>
  <c r="D6" i="3" s="1"/>
  <c r="E5" i="3" a="1"/>
  <c r="E5" i="3"/>
  <c r="D5" i="3" a="1"/>
  <c r="D5" i="3" s="1"/>
  <c r="E4" i="3" a="1"/>
  <c r="E4" i="3" s="1"/>
  <c r="D4" i="3" a="1"/>
  <c r="D4" i="3" s="1"/>
  <c r="E3" i="3" a="1"/>
  <c r="E3" i="3" s="1"/>
  <c r="D3" i="3" a="1"/>
  <c r="D3" i="3" s="1"/>
  <c r="E2" i="3" a="1"/>
  <c r="E2" i="3" s="1"/>
  <c r="D2" i="3" a="1"/>
  <c r="D2" i="3" s="1"/>
  <c r="H217" i="2" a="1"/>
  <c r="H217" i="2" s="1"/>
  <c r="E217" i="2" a="1"/>
  <c r="E217" i="2" s="1"/>
  <c r="D217" i="2" a="1"/>
  <c r="D217" i="2" s="1"/>
  <c r="H216" i="2" a="1"/>
  <c r="H216" i="2"/>
  <c r="E216" i="2" a="1"/>
  <c r="E216" i="2" s="1"/>
  <c r="D216" i="2" a="1"/>
  <c r="D216" i="2" s="1"/>
  <c r="E215" i="2" a="1"/>
  <c r="E215" i="2" s="1"/>
  <c r="D215" i="2" a="1"/>
  <c r="D215" i="2"/>
  <c r="H214" i="2" a="1"/>
  <c r="H214" i="2" s="1"/>
  <c r="E214" i="2" a="1"/>
  <c r="E214" i="2" s="1"/>
  <c r="D214" i="2" a="1"/>
  <c r="D214" i="2" s="1"/>
  <c r="E213" i="2" a="1"/>
  <c r="E213" i="2" s="1"/>
  <c r="D213" i="2" a="1"/>
  <c r="D213" i="2" s="1"/>
  <c r="H212" i="2" a="1"/>
  <c r="H212" i="2" s="1"/>
  <c r="E212" i="2" a="1"/>
  <c r="E212" i="2" s="1"/>
  <c r="D212" i="2" a="1"/>
  <c r="D212" i="2" s="1"/>
  <c r="H211" i="2" a="1"/>
  <c r="H211" i="2" s="1"/>
  <c r="E211" i="2" a="1"/>
  <c r="E211" i="2"/>
  <c r="D211" i="2" a="1"/>
  <c r="D211" i="2" s="1"/>
  <c r="H210" i="2" a="1"/>
  <c r="H210" i="2" s="1"/>
  <c r="E210" i="2" a="1"/>
  <c r="E210" i="2" s="1"/>
  <c r="D210" i="2" a="1"/>
  <c r="D210" i="2" s="1"/>
  <c r="E209" i="2" a="1"/>
  <c r="E209" i="2" s="1"/>
  <c r="D209" i="2" a="1"/>
  <c r="D209" i="2" s="1"/>
  <c r="E208" i="2" a="1"/>
  <c r="E208" i="2" s="1"/>
  <c r="D208" i="2" a="1"/>
  <c r="D208" i="2" s="1"/>
  <c r="E207" i="2" a="1"/>
  <c r="E207" i="2" s="1"/>
  <c r="D207" i="2" a="1"/>
  <c r="D207" i="2" s="1"/>
  <c r="E206" i="2" a="1"/>
  <c r="E206" i="2" s="1"/>
  <c r="D206" i="2" a="1"/>
  <c r="D206" i="2"/>
  <c r="E205" i="2" a="1"/>
  <c r="E205" i="2" s="1"/>
  <c r="D205" i="2" a="1"/>
  <c r="D205" i="2" s="1"/>
  <c r="H204" i="2" a="1"/>
  <c r="H204" i="2" s="1"/>
  <c r="E204" i="2" a="1"/>
  <c r="E204" i="2"/>
  <c r="D204" i="2" a="1"/>
  <c r="D204" i="2" s="1"/>
  <c r="H203" i="2" a="1"/>
  <c r="H203" i="2" s="1"/>
  <c r="E203" i="2" a="1"/>
  <c r="E203" i="2" s="1"/>
  <c r="D203" i="2" a="1"/>
  <c r="D203" i="2" s="1"/>
  <c r="E202" i="2" a="1"/>
  <c r="E202" i="2" s="1"/>
  <c r="D202" i="2" a="1"/>
  <c r="D202" i="2" s="1"/>
  <c r="H201" i="2" a="1"/>
  <c r="H201" i="2" s="1"/>
  <c r="E201" i="2" a="1"/>
  <c r="E201" i="2" s="1"/>
  <c r="D201" i="2" a="1"/>
  <c r="D201" i="2" s="1"/>
  <c r="E200" i="2" a="1"/>
  <c r="E200" i="2" s="1"/>
  <c r="D200" i="2" a="1"/>
  <c r="D200" i="2" s="1"/>
  <c r="H199" i="2" a="1"/>
  <c r="H199" i="2" s="1"/>
  <c r="E199" i="2" a="1"/>
  <c r="E199" i="2" s="1"/>
  <c r="D199" i="2" a="1"/>
  <c r="D199" i="2"/>
  <c r="E198" i="2" a="1"/>
  <c r="E198" i="2" s="1"/>
  <c r="D198" i="2" a="1"/>
  <c r="D198" i="2" s="1"/>
  <c r="E197" i="2" a="1"/>
  <c r="E197" i="2" s="1"/>
  <c r="D197" i="2" a="1"/>
  <c r="D197" i="2" s="1"/>
  <c r="E196" i="2" a="1"/>
  <c r="E196" i="2" s="1"/>
  <c r="D196" i="2" a="1"/>
  <c r="D196" i="2" s="1"/>
  <c r="E195" i="2" a="1"/>
  <c r="E195" i="2"/>
  <c r="D195" i="2" a="1"/>
  <c r="D195" i="2" s="1"/>
  <c r="E194" i="2" a="1"/>
  <c r="E194" i="2" s="1"/>
  <c r="D194" i="2" a="1"/>
  <c r="D194" i="2" s="1"/>
  <c r="E193" i="2" a="1"/>
  <c r="E193" i="2" s="1"/>
  <c r="D193" i="2" a="1"/>
  <c r="D193" i="2" s="1"/>
  <c r="E192" i="2" a="1"/>
  <c r="E192" i="2" s="1"/>
  <c r="D192" i="2" a="1"/>
  <c r="D192" i="2" s="1"/>
  <c r="H191" i="2" a="1"/>
  <c r="H191" i="2" s="1"/>
  <c r="E191" i="2" a="1"/>
  <c r="E191" i="2" s="1"/>
  <c r="D191" i="2" a="1"/>
  <c r="D191" i="2" s="1"/>
  <c r="H190" i="2" a="1"/>
  <c r="H190" i="2" s="1"/>
  <c r="E190" i="2" a="1"/>
  <c r="E190" i="2" s="1"/>
  <c r="D190" i="2" a="1"/>
  <c r="D190" i="2"/>
  <c r="E189" i="2" a="1"/>
  <c r="E189" i="2" s="1"/>
  <c r="D189" i="2" a="1"/>
  <c r="D189" i="2" s="1"/>
  <c r="E188" i="2" a="1"/>
  <c r="E188" i="2"/>
  <c r="D188" i="2" a="1"/>
  <c r="D188" i="2" s="1"/>
  <c r="E187" i="2" a="1"/>
  <c r="E187" i="2" s="1"/>
  <c r="D187" i="2" a="1"/>
  <c r="D187" i="2" s="1"/>
  <c r="E186" i="2" a="1"/>
  <c r="E186" i="2" s="1"/>
  <c r="D186" i="2" a="1"/>
  <c r="D186" i="2" s="1"/>
  <c r="E185" i="2" a="1"/>
  <c r="E185" i="2" s="1"/>
  <c r="D185" i="2" a="1"/>
  <c r="D185" i="2" s="1"/>
  <c r="E184" i="2" a="1"/>
  <c r="E184" i="2" s="1"/>
  <c r="D184" i="2" a="1"/>
  <c r="D184" i="2" s="1"/>
  <c r="H183" i="2" a="1"/>
  <c r="H183" i="2" s="1"/>
  <c r="E183" i="2" a="1"/>
  <c r="E183" i="2" s="1"/>
  <c r="D183" i="2" a="1"/>
  <c r="D183" i="2"/>
  <c r="H182" i="2" a="1"/>
  <c r="H182" i="2" s="1"/>
  <c r="E182" i="2" a="1"/>
  <c r="E182" i="2" s="1"/>
  <c r="D182" i="2" a="1"/>
  <c r="D182" i="2" s="1"/>
  <c r="H181" i="2" a="1"/>
  <c r="H181" i="2" s="1"/>
  <c r="E181" i="2" a="1"/>
  <c r="E181" i="2" s="1"/>
  <c r="D181" i="2" a="1"/>
  <c r="D181" i="2" s="1"/>
  <c r="E180" i="2" a="1"/>
  <c r="E180" i="2" s="1"/>
  <c r="D180" i="2" a="1"/>
  <c r="D180" i="2" s="1"/>
  <c r="E179" i="2" a="1"/>
  <c r="E179" i="2"/>
  <c r="D179" i="2" a="1"/>
  <c r="D179" i="2" s="1"/>
  <c r="E178" i="2" a="1"/>
  <c r="E178" i="2" s="1"/>
  <c r="D178" i="2" a="1"/>
  <c r="D178" i="2" s="1"/>
  <c r="H177" i="2" a="1"/>
  <c r="H177" i="2"/>
  <c r="E177" i="2" a="1"/>
  <c r="E177" i="2" s="1"/>
  <c r="D177" i="2" a="1"/>
  <c r="D177" i="2" s="1"/>
  <c r="H176" i="2" a="1"/>
  <c r="H176" i="2" s="1"/>
  <c r="E176" i="2" a="1"/>
  <c r="E176" i="2" s="1"/>
  <c r="D176" i="2" a="1"/>
  <c r="D176" i="2" s="1"/>
  <c r="E175" i="2" a="1"/>
  <c r="E175" i="2" s="1"/>
  <c r="D175" i="2" a="1"/>
  <c r="D175" i="2" s="1"/>
  <c r="H174" i="2" a="1"/>
  <c r="H174" i="2" s="1"/>
  <c r="E174" i="2" a="1"/>
  <c r="E174" i="2" s="1"/>
  <c r="D174" i="2" a="1"/>
  <c r="D174" i="2"/>
  <c r="E173" i="2" a="1"/>
  <c r="E173" i="2" s="1"/>
  <c r="D173" i="2" a="1"/>
  <c r="D173" i="2" s="1"/>
  <c r="E172" i="2" a="1"/>
  <c r="E172" i="2" s="1"/>
  <c r="D172" i="2" a="1"/>
  <c r="D172" i="2" s="1"/>
  <c r="E171" i="2" a="1"/>
  <c r="E171" i="2" s="1"/>
  <c r="D171" i="2" a="1"/>
  <c r="D171" i="2" s="1"/>
  <c r="E170" i="2" a="1"/>
  <c r="E170" i="2" s="1"/>
  <c r="D170" i="2" a="1"/>
  <c r="D170" i="2" s="1"/>
  <c r="H169" i="2" a="1"/>
  <c r="H169" i="2" s="1"/>
  <c r="E169" i="2" a="1"/>
  <c r="E169" i="2" s="1"/>
  <c r="D169" i="2" a="1"/>
  <c r="D169" i="2" s="1"/>
  <c r="H168" i="2" a="1"/>
  <c r="H168" i="2"/>
  <c r="E168" i="2" a="1"/>
  <c r="E168" i="2" s="1"/>
  <c r="D168" i="2" a="1"/>
  <c r="D168" i="2" s="1"/>
  <c r="E167" i="2" a="1"/>
  <c r="E167" i="2" s="1"/>
  <c r="D167" i="2" a="1"/>
  <c r="D167" i="2" s="1"/>
  <c r="H166" i="2" a="1"/>
  <c r="H166" i="2" s="1"/>
  <c r="E166" i="2" a="1"/>
  <c r="E166" i="2" s="1"/>
  <c r="D166" i="2" a="1"/>
  <c r="D166" i="2" s="1"/>
  <c r="E165" i="2" a="1"/>
  <c r="E165" i="2" s="1"/>
  <c r="D165" i="2" a="1"/>
  <c r="D165" i="2" s="1"/>
  <c r="E164" i="2" a="1"/>
  <c r="E164" i="2" s="1"/>
  <c r="D164" i="2" a="1"/>
  <c r="D164" i="2" s="1"/>
  <c r="E163" i="2" a="1"/>
  <c r="E163" i="2"/>
  <c r="D163" i="2" a="1"/>
  <c r="D163" i="2" s="1"/>
  <c r="E162" i="2" a="1"/>
  <c r="E162" i="2" s="1"/>
  <c r="D162" i="2" a="1"/>
  <c r="D162" i="2" s="1"/>
  <c r="E161" i="2" a="1"/>
  <c r="E161" i="2" s="1"/>
  <c r="D161" i="2" a="1"/>
  <c r="D161" i="2" s="1"/>
  <c r="E160" i="2" a="1"/>
  <c r="E160" i="2" s="1"/>
  <c r="D160" i="2" a="1"/>
  <c r="D160" i="2" s="1"/>
  <c r="E159" i="2" a="1"/>
  <c r="E159" i="2" s="1"/>
  <c r="D159" i="2" a="1"/>
  <c r="D159" i="2" s="1"/>
  <c r="E158" i="2" a="1"/>
  <c r="E158" i="2" s="1"/>
  <c r="D158" i="2" a="1"/>
  <c r="D158" i="2"/>
  <c r="E157" i="2" a="1"/>
  <c r="E157" i="2" s="1"/>
  <c r="D157" i="2" a="1"/>
  <c r="D157" i="2" s="1"/>
  <c r="E156" i="2" a="1"/>
  <c r="E156" i="2" s="1"/>
  <c r="D156" i="2" a="1"/>
  <c r="D156" i="2" s="1"/>
  <c r="H155" i="2" a="1"/>
  <c r="H155" i="2" s="1"/>
  <c r="E155" i="2" a="1"/>
  <c r="E155" i="2"/>
  <c r="D155" i="2" a="1"/>
  <c r="D155" i="2"/>
  <c r="E154" i="2" a="1"/>
  <c r="E154" i="2"/>
  <c r="D154" i="2" a="1"/>
  <c r="D154" i="2" s="1"/>
  <c r="E153" i="2" a="1"/>
  <c r="E153" i="2" s="1"/>
  <c r="D153" i="2" a="1"/>
  <c r="D153" i="2" s="1"/>
  <c r="H152" i="2" a="1"/>
  <c r="H152" i="2"/>
  <c r="E152" i="2" a="1"/>
  <c r="E152" i="2"/>
  <c r="D152" i="2" a="1"/>
  <c r="D152" i="2" s="1"/>
  <c r="E151" i="2" a="1"/>
  <c r="E151" i="2" s="1"/>
  <c r="D151" i="2" a="1"/>
  <c r="D151" i="2" s="1"/>
  <c r="E150" i="2" a="1"/>
  <c r="E150" i="2"/>
  <c r="D150" i="2" a="1"/>
  <c r="D150" i="2" s="1"/>
  <c r="H149" i="2" a="1"/>
  <c r="H149" i="2" s="1"/>
  <c r="E149" i="2" a="1"/>
  <c r="E149" i="2" s="1"/>
  <c r="D149" i="2" a="1"/>
  <c r="D149" i="2" s="1"/>
  <c r="E148" i="2" a="1"/>
  <c r="E148" i="2" s="1"/>
  <c r="D148" i="2" a="1"/>
  <c r="D148" i="2" s="1"/>
  <c r="E147" i="2" a="1"/>
  <c r="E147" i="2"/>
  <c r="D147" i="2" a="1"/>
  <c r="D147" i="2"/>
  <c r="E146" i="2" a="1"/>
  <c r="E146" i="2" s="1"/>
  <c r="D146" i="2" a="1"/>
  <c r="D146" i="2" s="1"/>
  <c r="H145" i="2" a="1"/>
  <c r="H145" i="2"/>
  <c r="E145" i="2" a="1"/>
  <c r="E145" i="2" s="1"/>
  <c r="D145" i="2" a="1"/>
  <c r="D145" i="2"/>
  <c r="H144" i="2" a="1"/>
  <c r="H144" i="2"/>
  <c r="E144" i="2" a="1"/>
  <c r="E144" i="2"/>
  <c r="D144" i="2" a="1"/>
  <c r="D144" i="2" s="1"/>
  <c r="H143" i="2" a="1"/>
  <c r="H143" i="2" s="1"/>
  <c r="E143" i="2" a="1"/>
  <c r="E143" i="2" s="1"/>
  <c r="D143" i="2" a="1"/>
  <c r="D143" i="2" s="1"/>
  <c r="H142" i="2" a="1"/>
  <c r="H142" i="2" s="1"/>
  <c r="E142" i="2" a="1"/>
  <c r="E142" i="2"/>
  <c r="D142" i="2" a="1"/>
  <c r="D142" i="2" s="1"/>
  <c r="H141" i="2" a="1"/>
  <c r="H141" i="2"/>
  <c r="E141" i="2" a="1"/>
  <c r="E141" i="2" s="1"/>
  <c r="D141" i="2" a="1"/>
  <c r="D141" i="2" s="1"/>
  <c r="E140" i="2" a="1"/>
  <c r="E140" i="2" s="1"/>
  <c r="D140" i="2" a="1"/>
  <c r="D140" i="2" s="1"/>
  <c r="E139" i="2" a="1"/>
  <c r="E139" i="2" s="1"/>
  <c r="D139" i="2" a="1"/>
  <c r="D139" i="2"/>
  <c r="H138" i="2" a="1"/>
  <c r="H138" i="2" s="1"/>
  <c r="E138" i="2" a="1"/>
  <c r="E138" i="2" s="1"/>
  <c r="D138" i="2" a="1"/>
  <c r="D138" i="2" s="1"/>
  <c r="E137" i="2" a="1"/>
  <c r="E137" i="2" s="1"/>
  <c r="D137" i="2" a="1"/>
  <c r="D137" i="2"/>
  <c r="E136" i="2" a="1"/>
  <c r="E136" i="2" s="1"/>
  <c r="D136" i="2" a="1"/>
  <c r="D136" i="2" s="1"/>
  <c r="E135" i="2" a="1"/>
  <c r="E135" i="2" s="1"/>
  <c r="D135" i="2" a="1"/>
  <c r="D135" i="2" s="1"/>
  <c r="H134" i="2" a="1"/>
  <c r="H134" i="2"/>
  <c r="E134" i="2" a="1"/>
  <c r="E134" i="2" s="1"/>
  <c r="D134" i="2" a="1"/>
  <c r="D134" i="2" s="1"/>
  <c r="E133" i="2" a="1"/>
  <c r="E133" i="2" s="1"/>
  <c r="D133" i="2" a="1"/>
  <c r="D133" i="2" s="1"/>
  <c r="E132" i="2" a="1"/>
  <c r="E132" i="2" s="1"/>
  <c r="D132" i="2" a="1"/>
  <c r="D132" i="2"/>
  <c r="E131" i="2" a="1"/>
  <c r="E131" i="2" s="1"/>
  <c r="D131" i="2" a="1"/>
  <c r="D131" i="2"/>
  <c r="E130" i="2" a="1"/>
  <c r="E130" i="2" s="1"/>
  <c r="D130" i="2" a="1"/>
  <c r="D130" i="2" s="1"/>
  <c r="E129" i="2" a="1"/>
  <c r="E129" i="2"/>
  <c r="D129" i="2" a="1"/>
  <c r="D129" i="2" s="1"/>
  <c r="E128" i="2" a="1"/>
  <c r="E128" i="2"/>
  <c r="D128" i="2" a="1"/>
  <c r="D128" i="2" s="1"/>
  <c r="H127" i="2" a="1"/>
  <c r="H127" i="2" s="1"/>
  <c r="E127" i="2" a="1"/>
  <c r="E127" i="2" s="1"/>
  <c r="D127" i="2" a="1"/>
  <c r="D127" i="2" s="1"/>
  <c r="E126" i="2" a="1"/>
  <c r="E126" i="2" s="1"/>
  <c r="D126" i="2" a="1"/>
  <c r="D126" i="2" s="1"/>
  <c r="E125" i="2" a="1"/>
  <c r="E125" i="2" s="1"/>
  <c r="D125" i="2" a="1"/>
  <c r="D125" i="2" s="1"/>
  <c r="E124" i="2" a="1"/>
  <c r="E124" i="2" s="1"/>
  <c r="D124" i="2" a="1"/>
  <c r="D124" i="2"/>
  <c r="E123" i="2" a="1"/>
  <c r="E123" i="2" s="1"/>
  <c r="D123" i="2" a="1"/>
  <c r="D123" i="2"/>
  <c r="E122" i="2" a="1"/>
  <c r="E122" i="2" s="1"/>
  <c r="D122" i="2" a="1"/>
  <c r="D122" i="2" s="1"/>
  <c r="E121" i="2" a="1"/>
  <c r="E121" i="2"/>
  <c r="D121" i="2" a="1"/>
  <c r="D121" i="2" s="1"/>
  <c r="H120" i="2" a="1"/>
  <c r="H120" i="2" s="1"/>
  <c r="E120" i="2" a="1"/>
  <c r="E120" i="2"/>
  <c r="D120" i="2" a="1"/>
  <c r="D120" i="2" s="1"/>
  <c r="E119" i="2" a="1"/>
  <c r="E119" i="2" s="1"/>
  <c r="D119" i="2" a="1"/>
  <c r="D119" i="2" s="1"/>
  <c r="E118" i="2" a="1"/>
  <c r="E118" i="2" s="1"/>
  <c r="D118" i="2" a="1"/>
  <c r="D118" i="2" s="1"/>
  <c r="E117" i="2" a="1"/>
  <c r="E117" i="2" s="1"/>
  <c r="D117" i="2" a="1"/>
  <c r="D117" i="2" s="1"/>
  <c r="E116" i="2" a="1"/>
  <c r="E116" i="2" s="1"/>
  <c r="D116" i="2" a="1"/>
  <c r="D116" i="2"/>
  <c r="H115" i="2" a="1"/>
  <c r="H115" i="2" s="1"/>
  <c r="E115" i="2" a="1"/>
  <c r="E115" i="2" s="1"/>
  <c r="D115" i="2" a="1"/>
  <c r="D115" i="2" s="1"/>
  <c r="E114" i="2" a="1"/>
  <c r="E114" i="2" s="1"/>
  <c r="D114" i="2" a="1"/>
  <c r="D114" i="2" s="1"/>
  <c r="E113" i="2" a="1"/>
  <c r="E113" i="2"/>
  <c r="D113" i="2" a="1"/>
  <c r="D113" i="2" s="1"/>
  <c r="E112" i="2" a="1"/>
  <c r="E112" i="2"/>
  <c r="D112" i="2" a="1"/>
  <c r="D112" i="2" s="1"/>
  <c r="H111" i="2" a="1"/>
  <c r="H111" i="2" s="1"/>
  <c r="E111" i="2" a="1"/>
  <c r="E111" i="2" s="1"/>
  <c r="D111" i="2" a="1"/>
  <c r="D111" i="2" s="1"/>
  <c r="H110" i="2" a="1"/>
  <c r="H110" i="2"/>
  <c r="E110" i="2" a="1"/>
  <c r="E110" i="2" s="1"/>
  <c r="D110" i="2" a="1"/>
  <c r="D110" i="2" s="1"/>
  <c r="E109" i="2" a="1"/>
  <c r="E109" i="2" s="1"/>
  <c r="D109" i="2" a="1"/>
  <c r="D109" i="2" s="1"/>
  <c r="H108" i="2" a="1"/>
  <c r="H108" i="2" s="1"/>
  <c r="E108" i="2" a="1"/>
  <c r="E108" i="2" s="1"/>
  <c r="D108" i="2" a="1"/>
  <c r="D108" i="2" s="1"/>
  <c r="E107" i="2" a="1"/>
  <c r="E107" i="2" s="1"/>
  <c r="D107" i="2" a="1"/>
  <c r="D107" i="2"/>
  <c r="H106" i="2" a="1"/>
  <c r="H106" i="2" s="1"/>
  <c r="E106" i="2" a="1"/>
  <c r="E106" i="2" s="1"/>
  <c r="D106" i="2" a="1"/>
  <c r="D106" i="2" s="1"/>
  <c r="E105" i="2" a="1"/>
  <c r="E105" i="2"/>
  <c r="D105" i="2" a="1"/>
  <c r="D105" i="2" s="1"/>
  <c r="E104" i="2" a="1"/>
  <c r="E104" i="2" s="1"/>
  <c r="D104" i="2" a="1"/>
  <c r="D104" i="2" s="1"/>
  <c r="E103" i="2" a="1"/>
  <c r="E103" i="2" s="1"/>
  <c r="D103" i="2" a="1"/>
  <c r="D103" i="2" s="1"/>
  <c r="E102" i="2" a="1"/>
  <c r="E102" i="2" s="1"/>
  <c r="D102" i="2" a="1"/>
  <c r="D102" i="2" s="1"/>
  <c r="E101" i="2" a="1"/>
  <c r="E101" i="2" s="1"/>
  <c r="D101" i="2" a="1"/>
  <c r="D101" i="2" s="1"/>
  <c r="H100" i="2" a="1"/>
  <c r="H100" i="2" s="1"/>
  <c r="E100" i="2" a="1"/>
  <c r="E100" i="2" s="1"/>
  <c r="D100" i="2" a="1"/>
  <c r="D100" i="2"/>
  <c r="E99" i="2" a="1"/>
  <c r="E99" i="2" s="1"/>
  <c r="D99" i="2" a="1"/>
  <c r="D99" i="2"/>
  <c r="E98" i="2" a="1"/>
  <c r="E98" i="2" s="1"/>
  <c r="D98" i="2" a="1"/>
  <c r="D98" i="2" s="1"/>
  <c r="E97" i="2" a="1"/>
  <c r="E97" i="2" s="1"/>
  <c r="D97" i="2" a="1"/>
  <c r="D97" i="2" s="1"/>
  <c r="H96" i="2" a="1"/>
  <c r="H96" i="2" s="1"/>
  <c r="E96" i="2" a="1"/>
  <c r="E96" i="2" s="1"/>
  <c r="D96" i="2" a="1"/>
  <c r="D96" i="2" s="1"/>
  <c r="E95" i="2" a="1"/>
  <c r="E95" i="2" s="1"/>
  <c r="D95" i="2" a="1"/>
  <c r="D95" i="2" s="1"/>
  <c r="E94" i="2" a="1"/>
  <c r="E94" i="2" s="1"/>
  <c r="D94" i="2" a="1"/>
  <c r="D94" i="2" s="1"/>
  <c r="H93" i="2" a="1"/>
  <c r="H93" i="2"/>
  <c r="E93" i="2" a="1"/>
  <c r="E93" i="2" s="1"/>
  <c r="D93" i="2" a="1"/>
  <c r="D93" i="2" s="1"/>
  <c r="E92" i="2" a="1"/>
  <c r="E92" i="2" s="1"/>
  <c r="D92" i="2" a="1"/>
  <c r="D92" i="2"/>
  <c r="E91" i="2" a="1"/>
  <c r="E91" i="2" s="1"/>
  <c r="D91" i="2" a="1"/>
  <c r="D91" i="2" s="1"/>
  <c r="E90" i="2" a="1"/>
  <c r="E90" i="2" s="1"/>
  <c r="D90" i="2" a="1"/>
  <c r="D90" i="2" s="1"/>
  <c r="H89" i="2" a="1"/>
  <c r="H89" i="2" s="1"/>
  <c r="E89" i="2" a="1"/>
  <c r="E89" i="2" s="1"/>
  <c r="D89" i="2" a="1"/>
  <c r="D89" i="2" s="1"/>
  <c r="E88" i="2" a="1"/>
  <c r="E88" i="2" s="1"/>
  <c r="D88" i="2" a="1"/>
  <c r="D88" i="2" s="1"/>
  <c r="E87" i="2" a="1"/>
  <c r="E87" i="2" s="1"/>
  <c r="D87" i="2" a="1"/>
  <c r="D87" i="2" s="1"/>
  <c r="E86" i="2" a="1"/>
  <c r="E86" i="2" s="1"/>
  <c r="D86" i="2" a="1"/>
  <c r="D86" i="2" s="1"/>
  <c r="E85" i="2" a="1"/>
  <c r="E85" i="2" s="1"/>
  <c r="D85" i="2" a="1"/>
  <c r="D85" i="2" s="1"/>
  <c r="E84" i="2" a="1"/>
  <c r="E84" i="2" s="1"/>
  <c r="D84" i="2" a="1"/>
  <c r="D84" i="2" s="1"/>
  <c r="E83" i="2" a="1"/>
  <c r="E83" i="2" s="1"/>
  <c r="D83" i="2" a="1"/>
  <c r="D83" i="2" s="1"/>
  <c r="E82" i="2" a="1"/>
  <c r="E82" i="2" s="1"/>
  <c r="D82" i="2" a="1"/>
  <c r="D82" i="2" s="1"/>
  <c r="E81" i="2" a="1"/>
  <c r="E81" i="2" s="1"/>
  <c r="D81" i="2" a="1"/>
  <c r="D81" i="2" s="1"/>
  <c r="H80" i="2" a="1"/>
  <c r="H80" i="2" s="1"/>
  <c r="E80" i="2" a="1"/>
  <c r="E80" i="2"/>
  <c r="D80" i="2" a="1"/>
  <c r="D80" i="2" s="1"/>
  <c r="E79" i="2" a="1"/>
  <c r="E79" i="2" s="1"/>
  <c r="D79" i="2" a="1"/>
  <c r="D79" i="2" s="1"/>
  <c r="E78" i="2" a="1"/>
  <c r="E78" i="2" s="1"/>
  <c r="D78" i="2" a="1"/>
  <c r="D78" i="2" s="1"/>
  <c r="E77" i="2" a="1"/>
  <c r="E77" i="2" s="1"/>
  <c r="D77" i="2" a="1"/>
  <c r="D77" i="2" s="1"/>
  <c r="E76" i="2" a="1"/>
  <c r="E76" i="2" s="1"/>
  <c r="D76" i="2" a="1"/>
  <c r="D76" i="2"/>
  <c r="H75" i="2" a="1"/>
  <c r="H75" i="2" s="1"/>
  <c r="E75" i="2" a="1"/>
  <c r="E75" i="2" s="1"/>
  <c r="D75" i="2" a="1"/>
  <c r="D75" i="2" s="1"/>
  <c r="E74" i="2" a="1"/>
  <c r="E74" i="2" s="1"/>
  <c r="D74" i="2" a="1"/>
  <c r="D74" i="2" s="1"/>
  <c r="E73" i="2" a="1"/>
  <c r="E73" i="2"/>
  <c r="D73" i="2" a="1"/>
  <c r="D73" i="2" s="1"/>
  <c r="E72" i="2" a="1"/>
  <c r="E72" i="2" s="1"/>
  <c r="D72" i="2" a="1"/>
  <c r="D72" i="2" s="1"/>
  <c r="E71" i="2" a="1"/>
  <c r="E71" i="2" s="1"/>
  <c r="D71" i="2" a="1"/>
  <c r="D71" i="2" s="1"/>
  <c r="E70" i="2" a="1"/>
  <c r="E70" i="2" s="1"/>
  <c r="D70" i="2" a="1"/>
  <c r="D70" i="2" s="1"/>
  <c r="E69" i="2" a="1"/>
  <c r="E69" i="2" s="1"/>
  <c r="D69" i="2" a="1"/>
  <c r="D69" i="2" s="1"/>
  <c r="H68" i="2" a="1"/>
  <c r="H68" i="2" s="1"/>
  <c r="E68" i="2" a="1"/>
  <c r="E68" i="2" s="1"/>
  <c r="D68" i="2" a="1"/>
  <c r="D68" i="2" s="1"/>
  <c r="H67" i="2" a="1"/>
  <c r="H67" i="2" s="1"/>
  <c r="E67" i="2" a="1"/>
  <c r="E67" i="2" s="1"/>
  <c r="D67" i="2" a="1"/>
  <c r="D67" i="2"/>
  <c r="H66" i="2" a="1"/>
  <c r="H66" i="2" s="1"/>
  <c r="E66" i="2" a="1"/>
  <c r="E66" i="2" s="1"/>
  <c r="D66" i="2" a="1"/>
  <c r="D66" i="2" s="1"/>
  <c r="E65" i="2" a="1"/>
  <c r="E65" i="2"/>
  <c r="D65" i="2" a="1"/>
  <c r="D65" i="2" s="1"/>
  <c r="H64" i="2" a="1"/>
  <c r="H64" i="2" s="1"/>
  <c r="E64" i="2" a="1"/>
  <c r="E64" i="2" s="1"/>
  <c r="D64" i="2" a="1"/>
  <c r="D64" i="2" s="1"/>
  <c r="H63" i="2" a="1"/>
  <c r="H63" i="2" s="1"/>
  <c r="E63" i="2" a="1"/>
  <c r="E63" i="2" s="1"/>
  <c r="D63" i="2" a="1"/>
  <c r="D63" i="2" s="1"/>
  <c r="H62" i="2" a="1"/>
  <c r="H62" i="2"/>
  <c r="E62" i="2" a="1"/>
  <c r="E62" i="2" s="1"/>
  <c r="D62" i="2" a="1"/>
  <c r="D62" i="2" s="1"/>
  <c r="H61" i="2" a="1"/>
  <c r="H61" i="2" s="1"/>
  <c r="E61" i="2" a="1"/>
  <c r="E61" i="2" s="1"/>
  <c r="D61" i="2" a="1"/>
  <c r="D61" i="2" s="1"/>
  <c r="H60" i="2" a="1"/>
  <c r="H60" i="2" s="1"/>
  <c r="E60" i="2" a="1"/>
  <c r="E60" i="2" s="1"/>
  <c r="D60" i="2" a="1"/>
  <c r="D60" i="2" s="1"/>
  <c r="H59" i="2" a="1"/>
  <c r="H59" i="2" s="1"/>
  <c r="E59" i="2" a="1"/>
  <c r="E59" i="2" s="1"/>
  <c r="D59" i="2" a="1"/>
  <c r="D59" i="2"/>
  <c r="H58" i="2" a="1"/>
  <c r="H58" i="2" s="1"/>
  <c r="E58" i="2" a="1"/>
  <c r="E58" i="2" s="1"/>
  <c r="D58" i="2" a="1"/>
  <c r="D58" i="2" s="1"/>
  <c r="E57" i="2" a="1"/>
  <c r="E57" i="2" s="1"/>
  <c r="D57" i="2" a="1"/>
  <c r="D57" i="2" s="1"/>
  <c r="E56" i="2" a="1"/>
  <c r="E56" i="2"/>
  <c r="D56" i="2" a="1"/>
  <c r="D56" i="2" s="1"/>
  <c r="E55" i="2" a="1"/>
  <c r="E55" i="2" s="1"/>
  <c r="D55" i="2" a="1"/>
  <c r="D55" i="2" s="1"/>
  <c r="H54" i="2" a="1"/>
  <c r="H54" i="2"/>
  <c r="E54" i="2" a="1"/>
  <c r="E54" i="2" s="1"/>
  <c r="D54" i="2" a="1"/>
  <c r="D54" i="2" s="1"/>
  <c r="E53" i="2" a="1"/>
  <c r="E53" i="2" s="1"/>
  <c r="D53" i="2" a="1"/>
  <c r="D53" i="2" s="1"/>
  <c r="H52" i="2" a="1"/>
  <c r="H52" i="2" s="1"/>
  <c r="E52" i="2" a="1"/>
  <c r="E52" i="2" s="1"/>
  <c r="D52" i="2" a="1"/>
  <c r="D52" i="2"/>
  <c r="H51" i="2" a="1"/>
  <c r="H51" i="2" s="1"/>
  <c r="E51" i="2" a="1"/>
  <c r="E51" i="2" s="1"/>
  <c r="D51" i="2" a="1"/>
  <c r="D51" i="2" s="1"/>
  <c r="H50" i="2" a="1"/>
  <c r="H50" i="2" s="1"/>
  <c r="E50" i="2" a="1"/>
  <c r="E50" i="2" s="1"/>
  <c r="D50" i="2" a="1"/>
  <c r="D50" i="2" s="1"/>
  <c r="E49" i="2" a="1"/>
  <c r="E49" i="2" s="1"/>
  <c r="D49" i="2" a="1"/>
  <c r="D49" i="2" s="1"/>
  <c r="E48" i="2" a="1"/>
  <c r="E48" i="2"/>
  <c r="D48" i="2" a="1"/>
  <c r="D48" i="2" s="1"/>
  <c r="E47" i="2" a="1"/>
  <c r="E47" i="2" s="1"/>
  <c r="D47" i="2" a="1"/>
  <c r="D47" i="2" s="1"/>
  <c r="H46" i="2" a="1"/>
  <c r="H46" i="2" s="1"/>
  <c r="E46" i="2" a="1"/>
  <c r="E46" i="2" s="1"/>
  <c r="D46" i="2" a="1"/>
  <c r="D46" i="2" s="1"/>
  <c r="E45" i="2" a="1"/>
  <c r="E45" i="2" s="1"/>
  <c r="D45" i="2" a="1"/>
  <c r="D45" i="2" s="1"/>
  <c r="H44" i="2" a="1"/>
  <c r="H44" i="2" s="1"/>
  <c r="E44" i="2" a="1"/>
  <c r="E44" i="2" s="1"/>
  <c r="D44" i="2" a="1"/>
  <c r="D44" i="2"/>
  <c r="E43" i="2" a="1"/>
  <c r="E43" i="2" s="1"/>
  <c r="D43" i="2" a="1"/>
  <c r="D43" i="2" s="1"/>
  <c r="E42" i="2" a="1"/>
  <c r="E42" i="2" s="1"/>
  <c r="D42" i="2" a="1"/>
  <c r="D42" i="2" s="1"/>
  <c r="E41" i="2" a="1"/>
  <c r="E41" i="2"/>
  <c r="D41" i="2" a="1"/>
  <c r="D41" i="2" s="1"/>
  <c r="E40" i="2" a="1"/>
  <c r="E40" i="2" s="1"/>
  <c r="D40" i="2" a="1"/>
  <c r="D40" i="2" s="1"/>
  <c r="E39" i="2" a="1"/>
  <c r="E39" i="2" s="1"/>
  <c r="D39" i="2" a="1"/>
  <c r="D39" i="2" s="1"/>
  <c r="H38" i="2" a="1"/>
  <c r="H38" i="2" s="1"/>
  <c r="E38" i="2" a="1"/>
  <c r="E38" i="2" s="1"/>
  <c r="D38" i="2" a="1"/>
  <c r="D38" i="2" s="1"/>
  <c r="H37" i="2" a="1"/>
  <c r="H37" i="2"/>
  <c r="E37" i="2" a="1"/>
  <c r="E37" i="2" s="1"/>
  <c r="D37" i="2" a="1"/>
  <c r="D37" i="2" s="1"/>
  <c r="H36" i="2" a="1"/>
  <c r="H36" i="2" s="1"/>
  <c r="E36" i="2" a="1"/>
  <c r="E36" i="2" s="1"/>
  <c r="D36" i="2" a="1"/>
  <c r="D36" i="2" s="1"/>
  <c r="H35" i="2" a="1"/>
  <c r="H35" i="2" s="1"/>
  <c r="E35" i="2" a="1"/>
  <c r="E35" i="2" s="1"/>
  <c r="D35" i="2" a="1"/>
  <c r="D35" i="2"/>
  <c r="E34" i="2" a="1"/>
  <c r="E34" i="2" s="1"/>
  <c r="D34" i="2" a="1"/>
  <c r="D34" i="2" s="1"/>
  <c r="H33" i="2" a="1"/>
  <c r="H33" i="2" s="1"/>
  <c r="E33" i="2" a="1"/>
  <c r="E33" i="2"/>
  <c r="D33" i="2" a="1"/>
  <c r="D33" i="2" s="1"/>
  <c r="H32" i="2" a="1"/>
  <c r="H32" i="2" s="1"/>
  <c r="E32" i="2" a="1"/>
  <c r="E32" i="2" s="1"/>
  <c r="D32" i="2" a="1"/>
  <c r="D32" i="2" s="1"/>
  <c r="H31" i="2" a="1"/>
  <c r="H31" i="2" s="1"/>
  <c r="E31" i="2" a="1"/>
  <c r="E31" i="2" s="1"/>
  <c r="D31" i="2" a="1"/>
  <c r="D31" i="2" s="1"/>
  <c r="E30" i="2" a="1"/>
  <c r="E30" i="2" s="1"/>
  <c r="D30" i="2" a="1"/>
  <c r="D30" i="2" s="1"/>
  <c r="H29" i="2" a="1"/>
  <c r="H29" i="2" s="1"/>
  <c r="E29" i="2" a="1"/>
  <c r="E29" i="2" s="1"/>
  <c r="D29" i="2" a="1"/>
  <c r="D29" i="2" s="1"/>
  <c r="H28" i="2" a="1"/>
  <c r="H28" i="2" s="1"/>
  <c r="E28" i="2" a="1"/>
  <c r="E28" i="2" s="1"/>
  <c r="D28" i="2" a="1"/>
  <c r="D28" i="2" s="1"/>
  <c r="E27" i="2" a="1"/>
  <c r="E27" i="2" s="1"/>
  <c r="D27" i="2" a="1"/>
  <c r="D27" i="2"/>
  <c r="E26" i="2" a="1"/>
  <c r="E26" i="2" s="1"/>
  <c r="D26" i="2" a="1"/>
  <c r="D26" i="2" s="1"/>
  <c r="H25" i="2" a="1"/>
  <c r="H25" i="2" s="1"/>
  <c r="E25" i="2" a="1"/>
  <c r="E25" i="2" s="1"/>
  <c r="D25" i="2" a="1"/>
  <c r="D25" i="2" s="1"/>
  <c r="E24" i="2" a="1"/>
  <c r="E24" i="2"/>
  <c r="D24" i="2" a="1"/>
  <c r="D24" i="2" s="1"/>
  <c r="E23" i="2" a="1"/>
  <c r="E23" i="2" s="1"/>
  <c r="D23" i="2" a="1"/>
  <c r="D23" i="2" s="1"/>
  <c r="H22" i="2" a="1"/>
  <c r="H22" i="2"/>
  <c r="E22" i="2" a="1"/>
  <c r="E22" i="2" s="1"/>
  <c r="D22" i="2" a="1"/>
  <c r="D22" i="2" s="1"/>
  <c r="E21" i="2" a="1"/>
  <c r="E21" i="2" s="1"/>
  <c r="D21" i="2" a="1"/>
  <c r="D21" i="2" s="1"/>
  <c r="H20" i="2" a="1"/>
  <c r="H20" i="2" s="1"/>
  <c r="E20" i="2" a="1"/>
  <c r="E20" i="2" s="1"/>
  <c r="D20" i="2" a="1"/>
  <c r="D20" i="2"/>
  <c r="E19" i="2" a="1"/>
  <c r="E19" i="2" s="1"/>
  <c r="D19" i="2" a="1"/>
  <c r="D19" i="2" s="1"/>
  <c r="E18" i="2" a="1"/>
  <c r="E18" i="2" s="1"/>
  <c r="D18" i="2" a="1"/>
  <c r="D18" i="2" s="1"/>
  <c r="H17" i="2" a="1"/>
  <c r="H17" i="2" s="1"/>
  <c r="E17" i="2" a="1"/>
  <c r="E17" i="2" s="1"/>
  <c r="D17" i="2" a="1"/>
  <c r="D17" i="2" s="1"/>
  <c r="H16" i="2" a="1"/>
  <c r="H16" i="2" s="1"/>
  <c r="E16" i="2" a="1"/>
  <c r="E16" i="2"/>
  <c r="D16" i="2" a="1"/>
  <c r="D16" i="2" s="1"/>
  <c r="H15" i="2" a="1"/>
  <c r="H15" i="2" s="1"/>
  <c r="E15" i="2" a="1"/>
  <c r="E15" i="2" s="1"/>
  <c r="D15" i="2" a="1"/>
  <c r="D15" i="2" s="1"/>
  <c r="E14" i="2" a="1"/>
  <c r="E14" i="2" s="1"/>
  <c r="D14" i="2" a="1"/>
  <c r="D14" i="2" s="1"/>
  <c r="H13" i="2" a="1"/>
  <c r="H13" i="2"/>
  <c r="E13" i="2" a="1"/>
  <c r="E13" i="2" s="1"/>
  <c r="D13" i="2" a="1"/>
  <c r="D13" i="2" s="1"/>
  <c r="H12" i="2" a="1"/>
  <c r="H12" i="2" s="1"/>
  <c r="E12" i="2" a="1"/>
  <c r="E12" i="2" s="1"/>
  <c r="D12" i="2" a="1"/>
  <c r="D12" i="2"/>
  <c r="E11" i="2" a="1"/>
  <c r="E11" i="2" s="1"/>
  <c r="D11" i="2" a="1"/>
  <c r="D11" i="2" s="1"/>
  <c r="E10" i="2" a="1"/>
  <c r="E10" i="2" s="1"/>
  <c r="D10" i="2" a="1"/>
  <c r="D10" i="2" s="1"/>
  <c r="E9" i="2" a="1"/>
  <c r="E9" i="2"/>
  <c r="D9" i="2" a="1"/>
  <c r="D9" i="2" s="1"/>
  <c r="E8" i="2" a="1"/>
  <c r="E8" i="2" s="1"/>
  <c r="D8" i="2" a="1"/>
  <c r="D8" i="2" s="1"/>
  <c r="H7" i="2" a="1"/>
  <c r="H7" i="2" s="1"/>
  <c r="E7" i="2" a="1"/>
  <c r="E7" i="2" s="1"/>
  <c r="D7" i="2" a="1"/>
  <c r="D7" i="2" s="1"/>
  <c r="E6" i="2" a="1"/>
  <c r="E6" i="2" s="1"/>
  <c r="D6" i="2" a="1"/>
  <c r="D6" i="2" s="1"/>
  <c r="E5" i="2" a="1"/>
  <c r="E5" i="2" s="1"/>
  <c r="D5" i="2" a="1"/>
  <c r="D5" i="2" s="1"/>
  <c r="H4" i="2" a="1"/>
  <c r="H4" i="2" s="1"/>
  <c r="E4" i="2" a="1"/>
  <c r="E4" i="2" s="1"/>
  <c r="D4" i="2" a="1"/>
  <c r="D4" i="2" s="1"/>
  <c r="E3" i="2" a="1"/>
  <c r="E3" i="2" s="1"/>
  <c r="D3" i="2" a="1"/>
  <c r="D3" i="2"/>
  <c r="E2" i="2" a="1"/>
  <c r="E2" i="2" s="1"/>
  <c r="D2" i="2" a="1"/>
  <c r="D2" i="2" s="1"/>
  <c r="F218" i="1" a="1"/>
  <c r="F218" i="1" s="1"/>
  <c r="D218" i="1" a="1"/>
  <c r="D218" i="1" s="1"/>
  <c r="C218" i="1" a="1"/>
  <c r="C218" i="1" s="1"/>
  <c r="F217" i="1" a="1"/>
  <c r="F217" i="1" s="1"/>
  <c r="D217" i="1" a="1"/>
  <c r="D217" i="1" s="1"/>
  <c r="C217" i="1" a="1"/>
  <c r="C217" i="1" s="1"/>
  <c r="D42" i="1" a="1"/>
  <c r="D42" i="1" s="1"/>
  <c r="C42" i="1" a="1"/>
  <c r="C42" i="1" s="1"/>
  <c r="F216" i="1" a="1"/>
  <c r="F216" i="1" s="1"/>
  <c r="D216" i="1" a="1"/>
  <c r="D216" i="1" s="1"/>
  <c r="C216" i="1" a="1"/>
  <c r="C216" i="1" s="1"/>
  <c r="D44" i="1" a="1"/>
  <c r="D44" i="1" s="1"/>
  <c r="C44" i="1" a="1"/>
  <c r="C44" i="1" s="1"/>
  <c r="F215" i="1" a="1"/>
  <c r="F215" i="1" s="1"/>
  <c r="D215" i="1" a="1"/>
  <c r="D215" i="1" s="1"/>
  <c r="C215" i="1" a="1"/>
  <c r="C215" i="1" s="1"/>
  <c r="F214" i="1" a="1"/>
  <c r="F214" i="1" s="1"/>
  <c r="D214" i="1" a="1"/>
  <c r="D214" i="1" s="1"/>
  <c r="C214" i="1" a="1"/>
  <c r="C214" i="1" s="1"/>
  <c r="F213" i="1" a="1"/>
  <c r="F213" i="1" s="1"/>
  <c r="D213" i="1" a="1"/>
  <c r="D213" i="1" s="1"/>
  <c r="C213" i="1" a="1"/>
  <c r="C213" i="1" s="1"/>
  <c r="D46" i="1" a="1"/>
  <c r="D46" i="1" s="1"/>
  <c r="C46" i="1" a="1"/>
  <c r="C46" i="1" s="1"/>
  <c r="D96" i="1" a="1"/>
  <c r="D96" i="1" s="1"/>
  <c r="C96" i="1" a="1"/>
  <c r="C96" i="1" s="1"/>
  <c r="D74" i="1" a="1"/>
  <c r="D74" i="1" s="1"/>
  <c r="C74" i="1" a="1"/>
  <c r="C74" i="1" s="1"/>
  <c r="D110" i="1" a="1"/>
  <c r="D110" i="1" s="1"/>
  <c r="C110" i="1" a="1"/>
  <c r="C110" i="1" s="1"/>
  <c r="D79" i="1" a="1"/>
  <c r="D79" i="1" s="1"/>
  <c r="C79" i="1" a="1"/>
  <c r="C79" i="1" s="1"/>
  <c r="F212" i="1" a="1"/>
  <c r="F212" i="1" s="1"/>
  <c r="D212" i="1" a="1"/>
  <c r="D212" i="1" s="1"/>
  <c r="C212" i="1" a="1"/>
  <c r="C212" i="1" s="1"/>
  <c r="F211" i="1" a="1"/>
  <c r="F211" i="1" s="1"/>
  <c r="D211" i="1" a="1"/>
  <c r="D211" i="1" s="1"/>
  <c r="C211" i="1" a="1"/>
  <c r="C211" i="1" s="1"/>
  <c r="D106" i="1" a="1"/>
  <c r="D106" i="1" s="1"/>
  <c r="C106" i="1" a="1"/>
  <c r="C106" i="1" s="1"/>
  <c r="D90" i="1" a="1"/>
  <c r="D90" i="1" s="1"/>
  <c r="C90" i="1" a="1"/>
  <c r="C90" i="1" s="1"/>
  <c r="D73" i="1" a="1"/>
  <c r="D73" i="1" s="1"/>
  <c r="C73" i="1" a="1"/>
  <c r="C73" i="1" s="1"/>
  <c r="F210" i="1" a="1"/>
  <c r="F210" i="1" s="1"/>
  <c r="D210" i="1" a="1"/>
  <c r="D210" i="1" s="1"/>
  <c r="C210" i="1" a="1"/>
  <c r="C210" i="1" s="1"/>
  <c r="D139" i="1" a="1"/>
  <c r="D139" i="1" s="1"/>
  <c r="C139" i="1" a="1"/>
  <c r="C139" i="1" s="1"/>
  <c r="D62" i="1" a="1"/>
  <c r="D62" i="1" s="1"/>
  <c r="C62" i="1" a="1"/>
  <c r="C62" i="1" s="1"/>
  <c r="D89" i="1" a="1"/>
  <c r="D89" i="1" s="1"/>
  <c r="C89" i="1" a="1"/>
  <c r="C89" i="1" s="1"/>
  <c r="D33" i="1" a="1"/>
  <c r="D33" i="1" s="1"/>
  <c r="C33" i="1" a="1"/>
  <c r="C33" i="1" s="1"/>
  <c r="D71" i="1" a="1"/>
  <c r="D71" i="1" s="1"/>
  <c r="C71" i="1" a="1"/>
  <c r="C71" i="1" s="1"/>
  <c r="D105" i="1" a="1"/>
  <c r="D105" i="1" s="1"/>
  <c r="C105" i="1" a="1"/>
  <c r="C105" i="1" s="1"/>
  <c r="D125" i="1" a="1"/>
  <c r="D125" i="1" s="1"/>
  <c r="C125" i="1" a="1"/>
  <c r="C125" i="1" s="1"/>
  <c r="F209" i="1" a="1"/>
  <c r="F209" i="1" s="1"/>
  <c r="D209" i="1" a="1"/>
  <c r="D209" i="1" s="1"/>
  <c r="C209" i="1" a="1"/>
  <c r="C209" i="1" s="1"/>
  <c r="F208" i="1" a="1"/>
  <c r="F208" i="1" s="1"/>
  <c r="D208" i="1" a="1"/>
  <c r="D208" i="1" s="1"/>
  <c r="C208" i="1" a="1"/>
  <c r="C208" i="1" s="1"/>
  <c r="D87" i="1" a="1"/>
  <c r="D87" i="1" s="1"/>
  <c r="C87" i="1" a="1"/>
  <c r="C87" i="1" s="1"/>
  <c r="D93" i="1" a="1"/>
  <c r="D93" i="1" s="1"/>
  <c r="C93" i="1" a="1"/>
  <c r="C93" i="1" s="1"/>
  <c r="D92" i="1" a="1"/>
  <c r="D92" i="1" s="1"/>
  <c r="C92" i="1" a="1"/>
  <c r="C92" i="1" s="1"/>
  <c r="D32" i="1" a="1"/>
  <c r="D32" i="1" s="1"/>
  <c r="C32" i="1" a="1"/>
  <c r="C32" i="1" s="1"/>
  <c r="D31" i="1" a="1"/>
  <c r="D31" i="1" s="1"/>
  <c r="C31" i="1" a="1"/>
  <c r="C31" i="1" s="1"/>
  <c r="D27" i="1" a="1"/>
  <c r="D27" i="1" s="1"/>
  <c r="C27" i="1" a="1"/>
  <c r="C27" i="1" s="1"/>
  <c r="D39" i="1" a="1"/>
  <c r="D39" i="1" s="1"/>
  <c r="C39" i="1" a="1"/>
  <c r="C39" i="1" s="1"/>
  <c r="F207" i="1" a="1"/>
  <c r="F207" i="1" s="1"/>
  <c r="D207" i="1" a="1"/>
  <c r="D207" i="1" s="1"/>
  <c r="C207" i="1" a="1"/>
  <c r="C207" i="1" s="1"/>
  <c r="F206" i="1" a="1"/>
  <c r="F206" i="1" s="1"/>
  <c r="D206" i="1" a="1"/>
  <c r="D206" i="1" s="1"/>
  <c r="C206" i="1" a="1"/>
  <c r="C206" i="1" s="1"/>
  <c r="D138" i="1" a="1"/>
  <c r="D138" i="1" s="1"/>
  <c r="C138" i="1" a="1"/>
  <c r="C138" i="1" s="1"/>
  <c r="D78" i="1" a="1"/>
  <c r="D78" i="1" s="1"/>
  <c r="C78" i="1" a="1"/>
  <c r="C78" i="1" s="1"/>
  <c r="D61" i="1" a="1"/>
  <c r="D61" i="1" s="1"/>
  <c r="C61" i="1" a="1"/>
  <c r="C61" i="1" s="1"/>
  <c r="F205" i="1" a="1"/>
  <c r="F205" i="1" s="1"/>
  <c r="D205" i="1" a="1"/>
  <c r="D205" i="1" s="1"/>
  <c r="C205" i="1" a="1"/>
  <c r="C205" i="1" s="1"/>
  <c r="F204" i="1" a="1"/>
  <c r="F204" i="1" s="1"/>
  <c r="D204" i="1" a="1"/>
  <c r="D204" i="1" s="1"/>
  <c r="C204" i="1" a="1"/>
  <c r="C204" i="1" s="1"/>
  <c r="D41" i="1" a="1"/>
  <c r="D41" i="1" s="1"/>
  <c r="C41" i="1" a="1"/>
  <c r="C41" i="1" s="1"/>
  <c r="F203" i="1" a="1"/>
  <c r="F203" i="1" s="1"/>
  <c r="D203" i="1" a="1"/>
  <c r="D203" i="1" s="1"/>
  <c r="C203" i="1" a="1"/>
  <c r="C203" i="1" s="1"/>
  <c r="D52" i="1" a="1"/>
  <c r="D52" i="1" s="1"/>
  <c r="C52" i="1" a="1"/>
  <c r="C52" i="1" s="1"/>
  <c r="D142" i="1" a="1"/>
  <c r="D142" i="1" s="1"/>
  <c r="C142" i="1" a="1"/>
  <c r="C142" i="1" s="1"/>
  <c r="D21" i="1" a="1"/>
  <c r="D21" i="1" s="1"/>
  <c r="C21" i="1" a="1"/>
  <c r="C21" i="1" s="1"/>
  <c r="D72" i="1" a="1"/>
  <c r="D72" i="1" s="1"/>
  <c r="C72" i="1" a="1"/>
  <c r="C72" i="1" s="1"/>
  <c r="F202" i="1" a="1"/>
  <c r="F202" i="1" s="1"/>
  <c r="D202" i="1" a="1"/>
  <c r="D202" i="1" s="1"/>
  <c r="C202" i="1" a="1"/>
  <c r="C202" i="1" s="1"/>
  <c r="F201" i="1" a="1"/>
  <c r="F201" i="1" s="1"/>
  <c r="D201" i="1" a="1"/>
  <c r="D201" i="1" s="1"/>
  <c r="C201" i="1" a="1"/>
  <c r="C201" i="1" s="1"/>
  <c r="D124" i="1" a="1"/>
  <c r="D124" i="1" s="1"/>
  <c r="C124" i="1" a="1"/>
  <c r="C124" i="1" s="1"/>
  <c r="F200" i="1" a="1"/>
  <c r="F200" i="1" s="1"/>
  <c r="D200" i="1" a="1"/>
  <c r="D200" i="1" s="1"/>
  <c r="C200" i="1" a="1"/>
  <c r="C200" i="1" s="1"/>
  <c r="D36" i="1" a="1"/>
  <c r="D36" i="1" s="1"/>
  <c r="C36" i="1" a="1"/>
  <c r="C36" i="1" s="1"/>
  <c r="D118" i="1" a="1"/>
  <c r="D118" i="1" s="1"/>
  <c r="C118" i="1" a="1"/>
  <c r="C118" i="1" s="1"/>
  <c r="D15" i="1" a="1"/>
  <c r="D15" i="1" s="1"/>
  <c r="C15" i="1" a="1"/>
  <c r="C15" i="1" s="1"/>
  <c r="D20" i="1" a="1"/>
  <c r="D20" i="1" s="1"/>
  <c r="C20" i="1" a="1"/>
  <c r="C20" i="1" s="1"/>
  <c r="D58" i="1" a="1"/>
  <c r="D58" i="1" s="1"/>
  <c r="C58" i="1" a="1"/>
  <c r="C58" i="1" s="1"/>
  <c r="D131" i="1" a="1"/>
  <c r="D131" i="1" s="1"/>
  <c r="C131" i="1" a="1"/>
  <c r="C131" i="1" s="1"/>
  <c r="D136" i="1" a="1"/>
  <c r="D136" i="1" s="1"/>
  <c r="C136" i="1" a="1"/>
  <c r="C136" i="1" s="1"/>
  <c r="D76" i="1" a="1"/>
  <c r="D76" i="1" s="1"/>
  <c r="C76" i="1" a="1"/>
  <c r="C76" i="1" s="1"/>
  <c r="D43" i="1" a="1"/>
  <c r="D43" i="1" s="1"/>
  <c r="C43" i="1" a="1"/>
  <c r="C43" i="1" s="1"/>
  <c r="D113" i="1" a="1"/>
  <c r="D113" i="1" s="1"/>
  <c r="C113" i="1" a="1"/>
  <c r="C113" i="1" s="1"/>
  <c r="F199" i="1" a="1"/>
  <c r="F199" i="1" s="1"/>
  <c r="D199" i="1" a="1"/>
  <c r="D199" i="1" s="1"/>
  <c r="C199" i="1" a="1"/>
  <c r="C199" i="1" s="1"/>
  <c r="D116" i="1" a="1"/>
  <c r="D116" i="1" s="1"/>
  <c r="C116" i="1" a="1"/>
  <c r="C116" i="1" s="1"/>
  <c r="D19" i="1" a="1"/>
  <c r="D19" i="1" s="1"/>
  <c r="C19" i="1" a="1"/>
  <c r="C19" i="1" s="1"/>
  <c r="F198" i="1" a="1"/>
  <c r="F198" i="1" s="1"/>
  <c r="D198" i="1" a="1"/>
  <c r="D198" i="1" s="1"/>
  <c r="C198" i="1" a="1"/>
  <c r="C198" i="1" s="1"/>
  <c r="D99" i="1" a="1"/>
  <c r="D99" i="1" s="1"/>
  <c r="C99" i="1" a="1"/>
  <c r="C99" i="1" s="1"/>
  <c r="D35" i="1" a="1"/>
  <c r="D35" i="1" s="1"/>
  <c r="C35" i="1" a="1"/>
  <c r="C35" i="1" s="1"/>
  <c r="F197" i="1" a="1"/>
  <c r="F197" i="1" s="1"/>
  <c r="D197" i="1" a="1"/>
  <c r="D197" i="1" s="1"/>
  <c r="C197" i="1" a="1"/>
  <c r="C197" i="1" s="1"/>
  <c r="D127" i="1" a="1"/>
  <c r="D127" i="1" s="1"/>
  <c r="C127" i="1" a="1"/>
  <c r="C127" i="1" s="1"/>
  <c r="D34" i="1" a="1"/>
  <c r="D34" i="1" s="1"/>
  <c r="C34" i="1" a="1"/>
  <c r="C34" i="1" s="1"/>
  <c r="D117" i="1" a="1"/>
  <c r="D117" i="1" s="1"/>
  <c r="C117" i="1" a="1"/>
  <c r="C117" i="1" s="1"/>
  <c r="F196" i="1" a="1"/>
  <c r="F196" i="1" s="1"/>
  <c r="D196" i="1" a="1"/>
  <c r="D196" i="1" s="1"/>
  <c r="C196" i="1" a="1"/>
  <c r="C196" i="1" s="1"/>
  <c r="F195" i="1" a="1"/>
  <c r="F195" i="1" s="1"/>
  <c r="D195" i="1" a="1"/>
  <c r="D195" i="1" s="1"/>
  <c r="C195" i="1" a="1"/>
  <c r="C195" i="1" s="1"/>
  <c r="F194" i="1" a="1"/>
  <c r="F194" i="1" s="1"/>
  <c r="D194" i="1" a="1"/>
  <c r="D194" i="1" s="1"/>
  <c r="C194" i="1" a="1"/>
  <c r="C194" i="1" s="1"/>
  <c r="F193" i="1" a="1"/>
  <c r="F193" i="1" s="1"/>
  <c r="D193" i="1" a="1"/>
  <c r="D193" i="1" s="1"/>
  <c r="C193" i="1" a="1"/>
  <c r="C193" i="1" s="1"/>
  <c r="F192" i="1" a="1"/>
  <c r="F192" i="1" s="1"/>
  <c r="D192" i="1" a="1"/>
  <c r="D192" i="1" s="1"/>
  <c r="C192" i="1" a="1"/>
  <c r="C192" i="1" s="1"/>
  <c r="D130" i="1" a="1"/>
  <c r="D130" i="1" s="1"/>
  <c r="C130" i="1" a="1"/>
  <c r="C130" i="1" s="1"/>
  <c r="D84" i="1" a="1"/>
  <c r="D84" i="1" s="1"/>
  <c r="C84" i="1" a="1"/>
  <c r="C84" i="1" s="1"/>
  <c r="F191" i="1" a="1"/>
  <c r="F191" i="1" s="1"/>
  <c r="D191" i="1" a="1"/>
  <c r="D191" i="1" s="1"/>
  <c r="C191" i="1" a="1"/>
  <c r="C191" i="1" s="1"/>
  <c r="D95" i="1" a="1"/>
  <c r="D95" i="1" s="1"/>
  <c r="C95" i="1" a="1"/>
  <c r="C95" i="1" s="1"/>
  <c r="D82" i="1" a="1"/>
  <c r="D82" i="1" s="1"/>
  <c r="C82" i="1" a="1"/>
  <c r="C82" i="1" s="1"/>
  <c r="D49" i="1" a="1"/>
  <c r="D49" i="1" s="1"/>
  <c r="C49" i="1" a="1"/>
  <c r="C49" i="1" s="1"/>
  <c r="F190" i="1" a="1"/>
  <c r="F190" i="1" s="1"/>
  <c r="D190" i="1" a="1"/>
  <c r="D190" i="1" s="1"/>
  <c r="C190" i="1" a="1"/>
  <c r="C190" i="1" s="1"/>
  <c r="D4" i="1" a="1"/>
  <c r="D4" i="1" s="1"/>
  <c r="C4" i="1" a="1"/>
  <c r="C4" i="1" s="1"/>
  <c r="D112" i="1" a="1"/>
  <c r="D112" i="1" s="1"/>
  <c r="C112" i="1" a="1"/>
  <c r="C112" i="1" s="1"/>
  <c r="D70" i="1" a="1"/>
  <c r="D70" i="1" s="1"/>
  <c r="C70" i="1" a="1"/>
  <c r="C70" i="1" s="1"/>
  <c r="D5" i="1" a="1"/>
  <c r="D5" i="1" s="1"/>
  <c r="C5" i="1" a="1"/>
  <c r="C5" i="1" s="1"/>
  <c r="D121" i="1" a="1"/>
  <c r="D121" i="1" s="1"/>
  <c r="C121" i="1" a="1"/>
  <c r="C121" i="1" s="1"/>
  <c r="F189" i="1" a="1"/>
  <c r="F189" i="1" s="1"/>
  <c r="D189" i="1" a="1"/>
  <c r="D189" i="1" s="1"/>
  <c r="C189" i="1" a="1"/>
  <c r="C189" i="1" s="1"/>
  <c r="F188" i="1" a="1"/>
  <c r="F188" i="1" s="1"/>
  <c r="D188" i="1" a="1"/>
  <c r="D188" i="1" s="1"/>
  <c r="C188" i="1" a="1"/>
  <c r="C188" i="1" s="1"/>
  <c r="D111" i="1" a="1"/>
  <c r="D111" i="1" s="1"/>
  <c r="C111" i="1" a="1"/>
  <c r="C111" i="1" s="1"/>
  <c r="D69" i="1" a="1"/>
  <c r="D69" i="1" s="1"/>
  <c r="C69" i="1" a="1"/>
  <c r="C69" i="1" s="1"/>
  <c r="D18" i="1" a="1"/>
  <c r="D18" i="1" s="1"/>
  <c r="C18" i="1" a="1"/>
  <c r="C18" i="1" s="1"/>
  <c r="D104" i="1" a="1"/>
  <c r="D104" i="1" s="1"/>
  <c r="C104" i="1" a="1"/>
  <c r="C104" i="1" s="1"/>
  <c r="D63" i="1" a="1"/>
  <c r="D63" i="1" s="1"/>
  <c r="C63" i="1" a="1"/>
  <c r="C63" i="1" s="1"/>
  <c r="D86" i="1" a="1"/>
  <c r="D86" i="1" s="1"/>
  <c r="C86" i="1" a="1"/>
  <c r="C86" i="1" s="1"/>
  <c r="F187" i="1" a="1"/>
  <c r="F187" i="1" s="1"/>
  <c r="D187" i="1" a="1"/>
  <c r="D187" i="1" s="1"/>
  <c r="C187" i="1" a="1"/>
  <c r="C187" i="1" s="1"/>
  <c r="D115" i="1" a="1"/>
  <c r="D115" i="1" s="1"/>
  <c r="C115" i="1" a="1"/>
  <c r="C115" i="1" s="1"/>
  <c r="D45" i="1" a="1"/>
  <c r="D45" i="1" s="1"/>
  <c r="C45" i="1" a="1"/>
  <c r="C45" i="1" s="1"/>
  <c r="D109" i="1" a="1"/>
  <c r="D109" i="1" s="1"/>
  <c r="C109" i="1" a="1"/>
  <c r="C109" i="1" s="1"/>
  <c r="D8" i="1" a="1"/>
  <c r="D8" i="1" s="1"/>
  <c r="C8" i="1" a="1"/>
  <c r="C8" i="1" s="1"/>
  <c r="F186" i="1" a="1"/>
  <c r="F186" i="1" s="1"/>
  <c r="D186" i="1" a="1"/>
  <c r="D186" i="1" s="1"/>
  <c r="C186" i="1" a="1"/>
  <c r="C186" i="1" s="1"/>
  <c r="D60" i="1" a="1"/>
  <c r="D60" i="1" s="1"/>
  <c r="C60" i="1" a="1"/>
  <c r="C60" i="1" s="1"/>
  <c r="D98" i="1" a="1"/>
  <c r="D98" i="1" s="1"/>
  <c r="C98" i="1" a="1"/>
  <c r="C98" i="1" s="1"/>
  <c r="D14" i="1" a="1"/>
  <c r="D14" i="1" s="1"/>
  <c r="C14" i="1" a="1"/>
  <c r="C14" i="1" s="1"/>
  <c r="F185" i="1" a="1"/>
  <c r="F185" i="1" s="1"/>
  <c r="D185" i="1" a="1"/>
  <c r="D185" i="1" s="1"/>
  <c r="C185" i="1" a="1"/>
  <c r="C185" i="1" s="1"/>
  <c r="F184" i="1" a="1"/>
  <c r="F184" i="1" s="1"/>
  <c r="D184" i="1" a="1"/>
  <c r="D184" i="1" s="1"/>
  <c r="C184" i="1" a="1"/>
  <c r="C184" i="1" s="1"/>
  <c r="D38" i="1" a="1"/>
  <c r="D38" i="1" s="1"/>
  <c r="C38" i="1" a="1"/>
  <c r="C38" i="1" s="1"/>
  <c r="F183" i="1" a="1"/>
  <c r="F183" i="1" s="1"/>
  <c r="D183" i="1" a="1"/>
  <c r="D183" i="1" s="1"/>
  <c r="C183" i="1" a="1"/>
  <c r="C183" i="1" s="1"/>
  <c r="D29" i="1" a="1"/>
  <c r="D29" i="1" s="1"/>
  <c r="C29" i="1" a="1"/>
  <c r="C29" i="1" s="1"/>
  <c r="F182" i="1" a="1"/>
  <c r="F182" i="1" s="1"/>
  <c r="D182" i="1" a="1"/>
  <c r="D182" i="1" s="1"/>
  <c r="C182" i="1" a="1"/>
  <c r="C182" i="1" s="1"/>
  <c r="D28" i="1" a="1"/>
  <c r="D28" i="1" s="1"/>
  <c r="C28" i="1" a="1"/>
  <c r="C28" i="1" s="1"/>
  <c r="D7" i="1" a="1"/>
  <c r="D7" i="1" s="1"/>
  <c r="C7" i="1" a="1"/>
  <c r="C7" i="1" s="1"/>
  <c r="D120" i="1" a="1"/>
  <c r="D120" i="1" s="1"/>
  <c r="C120" i="1" a="1"/>
  <c r="C120" i="1" s="1"/>
  <c r="D6" i="1" a="1"/>
  <c r="D6" i="1" s="1"/>
  <c r="C6" i="1" a="1"/>
  <c r="C6" i="1" s="1"/>
  <c r="D141" i="1" a="1"/>
  <c r="D141" i="1" s="1"/>
  <c r="C141" i="1" a="1"/>
  <c r="C141" i="1" s="1"/>
  <c r="F181" i="1" a="1"/>
  <c r="F181" i="1" s="1"/>
  <c r="D181" i="1" a="1"/>
  <c r="D181" i="1" s="1"/>
  <c r="C181" i="1" a="1"/>
  <c r="C181" i="1" s="1"/>
  <c r="D83" i="1" a="1"/>
  <c r="D83" i="1" s="1"/>
  <c r="C83" i="1" a="1"/>
  <c r="C83" i="1" s="1"/>
  <c r="D3" i="1" a="1"/>
  <c r="D3" i="1" s="1"/>
  <c r="C3" i="1" a="1"/>
  <c r="C3" i="1" s="1"/>
  <c r="D97" i="1" a="1"/>
  <c r="D97" i="1" s="1"/>
  <c r="C97" i="1" a="1"/>
  <c r="C97" i="1" s="1"/>
  <c r="F180" i="1" a="1"/>
  <c r="F180" i="1" s="1"/>
  <c r="D180" i="1" a="1"/>
  <c r="D180" i="1" s="1"/>
  <c r="C180" i="1" a="1"/>
  <c r="C180" i="1" s="1"/>
  <c r="D129" i="1" a="1"/>
  <c r="D129" i="1" s="1"/>
  <c r="C129" i="1" a="1"/>
  <c r="C129" i="1" s="1"/>
  <c r="D77" i="1" a="1"/>
  <c r="D77" i="1" s="1"/>
  <c r="C77" i="1" a="1"/>
  <c r="C77" i="1" s="1"/>
  <c r="F179" i="1" a="1"/>
  <c r="F179" i="1" s="1"/>
  <c r="D179" i="1" a="1"/>
  <c r="D179" i="1" s="1"/>
  <c r="C179" i="1" a="1"/>
  <c r="C179" i="1" s="1"/>
  <c r="D51" i="1" a="1"/>
  <c r="D51" i="1" s="1"/>
  <c r="C51" i="1" a="1"/>
  <c r="C51" i="1" s="1"/>
  <c r="D40" i="1" a="1"/>
  <c r="D40" i="1" s="1"/>
  <c r="C40" i="1" a="1"/>
  <c r="C40" i="1" s="1"/>
  <c r="D94" i="1" a="1"/>
  <c r="D94" i="1" s="1"/>
  <c r="C94" i="1" a="1"/>
  <c r="C94" i="1" s="1"/>
  <c r="F178" i="1" a="1"/>
  <c r="F178" i="1" s="1"/>
  <c r="D178" i="1" a="1"/>
  <c r="D178" i="1" s="1"/>
  <c r="C178" i="1" a="1"/>
  <c r="C178" i="1" s="1"/>
  <c r="D81" i="1" a="1"/>
  <c r="D81" i="1" s="1"/>
  <c r="C81" i="1" a="1"/>
  <c r="C81" i="1" s="1"/>
  <c r="D119" i="1" a="1"/>
  <c r="D119" i="1" s="1"/>
  <c r="C119" i="1" a="1"/>
  <c r="C119" i="1" s="1"/>
  <c r="D2" i="1" a="1"/>
  <c r="D2" i="1" s="1"/>
  <c r="C2" i="1" a="1"/>
  <c r="C2" i="1" s="1"/>
  <c r="D133" i="1" a="1"/>
  <c r="D133" i="1" s="1"/>
  <c r="C133" i="1" a="1"/>
  <c r="C133" i="1" s="1"/>
  <c r="D11" i="1" a="1"/>
  <c r="D11" i="1" s="1"/>
  <c r="C11" i="1" a="1"/>
  <c r="C11" i="1" s="1"/>
  <c r="D137" i="1" a="1"/>
  <c r="D137" i="1" s="1"/>
  <c r="C137" i="1" a="1"/>
  <c r="C137" i="1" s="1"/>
  <c r="D132" i="1" a="1"/>
  <c r="D132" i="1" s="1"/>
  <c r="C132" i="1" a="1"/>
  <c r="C132" i="1" s="1"/>
  <c r="F177" i="1" a="1"/>
  <c r="F177" i="1" s="1"/>
  <c r="D177" i="1" a="1"/>
  <c r="D177" i="1" s="1"/>
  <c r="C177" i="1" a="1"/>
  <c r="C177" i="1" s="1"/>
  <c r="D48" i="1" a="1"/>
  <c r="D48" i="1" s="1"/>
  <c r="C48" i="1" a="1"/>
  <c r="C48" i="1" s="1"/>
  <c r="D68" i="1" a="1"/>
  <c r="D68" i="1" s="1"/>
  <c r="C68" i="1" a="1"/>
  <c r="C68" i="1" s="1"/>
  <c r="D67" i="1" a="1"/>
  <c r="D67" i="1" s="1"/>
  <c r="C67" i="1" a="1"/>
  <c r="C67" i="1" s="1"/>
  <c r="D66" i="1" a="1"/>
  <c r="D66" i="1" s="1"/>
  <c r="C66" i="1" a="1"/>
  <c r="C66" i="1" s="1"/>
  <c r="F176" i="1" a="1"/>
  <c r="F176" i="1" s="1"/>
  <c r="D176" i="1" a="1"/>
  <c r="D176" i="1" s="1"/>
  <c r="C176" i="1" a="1"/>
  <c r="C176" i="1" s="1"/>
  <c r="D135" i="1" a="1"/>
  <c r="D135" i="1" s="1"/>
  <c r="C135" i="1" a="1"/>
  <c r="C135" i="1" s="1"/>
  <c r="D108" i="1" a="1"/>
  <c r="D108" i="1" s="1"/>
  <c r="C108" i="1" a="1"/>
  <c r="C108" i="1" s="1"/>
  <c r="D50" i="1" a="1"/>
  <c r="D50" i="1" s="1"/>
  <c r="C50" i="1" a="1"/>
  <c r="C50" i="1" s="1"/>
  <c r="D100" i="1" a="1"/>
  <c r="D100" i="1" s="1"/>
  <c r="C100" i="1" a="1"/>
  <c r="C100" i="1" s="1"/>
  <c r="D126" i="1" a="1"/>
  <c r="D126" i="1" s="1"/>
  <c r="C126" i="1" a="1"/>
  <c r="C126" i="1" s="1"/>
  <c r="D107" i="1" a="1"/>
  <c r="D107" i="1" s="1"/>
  <c r="C107" i="1" a="1"/>
  <c r="C107" i="1" s="1"/>
  <c r="F175" i="1" a="1"/>
  <c r="F175" i="1" s="1"/>
  <c r="D175" i="1" a="1"/>
  <c r="D175" i="1" s="1"/>
  <c r="C175" i="1" a="1"/>
  <c r="C175" i="1" s="1"/>
  <c r="F174" i="1" a="1"/>
  <c r="F174" i="1" s="1"/>
  <c r="D174" i="1" a="1"/>
  <c r="D174" i="1" s="1"/>
  <c r="C174" i="1" a="1"/>
  <c r="C174" i="1" s="1"/>
  <c r="F173" i="1" a="1"/>
  <c r="F173" i="1" s="1"/>
  <c r="D173" i="1" a="1"/>
  <c r="D173" i="1" s="1"/>
  <c r="C173" i="1" a="1"/>
  <c r="C173" i="1" s="1"/>
  <c r="D55" i="1" a="1"/>
  <c r="D55" i="1" s="1"/>
  <c r="C55" i="1" a="1"/>
  <c r="C55" i="1" s="1"/>
  <c r="F172" i="1" a="1"/>
  <c r="F172" i="1" s="1"/>
  <c r="D172" i="1" a="1"/>
  <c r="D172" i="1" s="1"/>
  <c r="C172" i="1" a="1"/>
  <c r="C172" i="1" s="1"/>
  <c r="F171" i="1" a="1"/>
  <c r="F171" i="1" s="1"/>
  <c r="D171" i="1" a="1"/>
  <c r="D171" i="1" s="1"/>
  <c r="C171" i="1" a="1"/>
  <c r="C171" i="1" s="1"/>
  <c r="F170" i="1" a="1"/>
  <c r="F170" i="1" s="1"/>
  <c r="D170" i="1" a="1"/>
  <c r="D170" i="1" s="1"/>
  <c r="C170" i="1" a="1"/>
  <c r="C170" i="1" s="1"/>
  <c r="F169" i="1" a="1"/>
  <c r="F169" i="1" s="1"/>
  <c r="D169" i="1" a="1"/>
  <c r="D169" i="1" s="1"/>
  <c r="C169" i="1" a="1"/>
  <c r="C169" i="1" s="1"/>
  <c r="F168" i="1" a="1"/>
  <c r="F168" i="1" s="1"/>
  <c r="D168" i="1" a="1"/>
  <c r="D168" i="1" s="1"/>
  <c r="C168" i="1" a="1"/>
  <c r="C168" i="1" s="1"/>
  <c r="F167" i="1" a="1"/>
  <c r="F167" i="1" s="1"/>
  <c r="D167" i="1" a="1"/>
  <c r="D167" i="1" s="1"/>
  <c r="C167" i="1" a="1"/>
  <c r="C167" i="1" s="1"/>
  <c r="F166" i="1" a="1"/>
  <c r="F166" i="1" s="1"/>
  <c r="D166" i="1" a="1"/>
  <c r="D166" i="1" s="1"/>
  <c r="C166" i="1" a="1"/>
  <c r="C166" i="1" s="1"/>
  <c r="D12" i="1" a="1"/>
  <c r="D12" i="1" s="1"/>
  <c r="C12" i="1" a="1"/>
  <c r="C12" i="1" s="1"/>
  <c r="D85" i="1" a="1"/>
  <c r="D85" i="1" s="1"/>
  <c r="C85" i="1" a="1"/>
  <c r="C85" i="1" s="1"/>
  <c r="D64" i="1" a="1"/>
  <c r="D64" i="1" s="1"/>
  <c r="C64" i="1" a="1"/>
  <c r="C64" i="1" s="1"/>
  <c r="F165" i="1" a="1"/>
  <c r="F165" i="1" s="1"/>
  <c r="D165" i="1" a="1"/>
  <c r="D165" i="1" s="1"/>
  <c r="C165" i="1" a="1"/>
  <c r="C165" i="1" s="1"/>
  <c r="D140" i="1" a="1"/>
  <c r="D140" i="1" s="1"/>
  <c r="C140" i="1" a="1"/>
  <c r="C140" i="1" s="1"/>
  <c r="F164" i="1" a="1"/>
  <c r="F164" i="1" s="1"/>
  <c r="D164" i="1" a="1"/>
  <c r="D164" i="1" s="1"/>
  <c r="C164" i="1" a="1"/>
  <c r="C164" i="1" s="1"/>
  <c r="F163" i="1" a="1"/>
  <c r="F163" i="1" s="1"/>
  <c r="D163" i="1" a="1"/>
  <c r="D163" i="1" s="1"/>
  <c r="C163" i="1" a="1"/>
  <c r="C163" i="1" s="1"/>
  <c r="D103" i="1" a="1"/>
  <c r="D103" i="1" s="1"/>
  <c r="C103" i="1" a="1"/>
  <c r="C103" i="1" s="1"/>
  <c r="D102" i="1" a="1"/>
  <c r="D102" i="1" s="1"/>
  <c r="C102" i="1" a="1"/>
  <c r="C102" i="1" s="1"/>
  <c r="D134" i="1" a="1"/>
  <c r="D134" i="1" s="1"/>
  <c r="C134" i="1" a="1"/>
  <c r="C134" i="1" s="1"/>
  <c r="D57" i="1" a="1"/>
  <c r="D57" i="1" s="1"/>
  <c r="C57" i="1" a="1"/>
  <c r="C57" i="1" s="1"/>
  <c r="F162" i="1" a="1"/>
  <c r="F162" i="1" s="1"/>
  <c r="D162" i="1" a="1"/>
  <c r="D162" i="1" s="1"/>
  <c r="C162" i="1" a="1"/>
  <c r="C162" i="1" s="1"/>
  <c r="D23" i="1" a="1"/>
  <c r="D23" i="1" s="1"/>
  <c r="C23" i="1" a="1"/>
  <c r="C23" i="1" s="1"/>
  <c r="F161" i="1" a="1"/>
  <c r="F161" i="1" s="1"/>
  <c r="D161" i="1" a="1"/>
  <c r="D161" i="1" s="1"/>
  <c r="C161" i="1" a="1"/>
  <c r="C161" i="1" s="1"/>
  <c r="D37" i="1" a="1"/>
  <c r="D37" i="1" s="1"/>
  <c r="C37" i="1" a="1"/>
  <c r="C37" i="1" s="1"/>
  <c r="D88" i="1" a="1"/>
  <c r="D88" i="1" s="1"/>
  <c r="C88" i="1" a="1"/>
  <c r="C88" i="1" s="1"/>
  <c r="D128" i="1" a="1"/>
  <c r="D128" i="1" s="1"/>
  <c r="C128" i="1" a="1"/>
  <c r="C128" i="1" s="1"/>
  <c r="D101" i="1" a="1"/>
  <c r="D101" i="1" s="1"/>
  <c r="C101" i="1" a="1"/>
  <c r="C101" i="1" s="1"/>
  <c r="D10" i="1" a="1"/>
  <c r="D10" i="1" s="1"/>
  <c r="C10" i="1" a="1"/>
  <c r="C10" i="1" s="1"/>
  <c r="D9" i="1" a="1"/>
  <c r="D9" i="1" s="1"/>
  <c r="C9" i="1" a="1"/>
  <c r="C9" i="1" s="1"/>
  <c r="F160" i="1" a="1"/>
  <c r="F160" i="1" s="1"/>
  <c r="D160" i="1" a="1"/>
  <c r="D160" i="1" s="1"/>
  <c r="C160" i="1" a="1"/>
  <c r="C160" i="1" s="1"/>
  <c r="F159" i="1" a="1"/>
  <c r="F159" i="1" s="1"/>
  <c r="D159" i="1" a="1"/>
  <c r="D159" i="1" s="1"/>
  <c r="C159" i="1" a="1"/>
  <c r="C159" i="1" s="1"/>
  <c r="F158" i="1" a="1"/>
  <c r="F158" i="1" s="1"/>
  <c r="D158" i="1" a="1"/>
  <c r="D158" i="1" s="1"/>
  <c r="C158" i="1" a="1"/>
  <c r="C158" i="1" s="1"/>
  <c r="D22" i="1" a="1"/>
  <c r="D22" i="1" s="1"/>
  <c r="C22" i="1" a="1"/>
  <c r="C22" i="1" s="1"/>
  <c r="F157" i="1" a="1"/>
  <c r="F157" i="1" s="1"/>
  <c r="D157" i="1" a="1"/>
  <c r="D157" i="1" s="1"/>
  <c r="C157" i="1" a="1"/>
  <c r="C157" i="1" s="1"/>
  <c r="F156" i="1" a="1"/>
  <c r="F156" i="1" s="1"/>
  <c r="D156" i="1" a="1"/>
  <c r="D156" i="1" s="1"/>
  <c r="C156" i="1" a="1"/>
  <c r="C156" i="1" s="1"/>
  <c r="F155" i="1" a="1"/>
  <c r="F155" i="1" s="1"/>
  <c r="D155" i="1" a="1"/>
  <c r="D155" i="1" s="1"/>
  <c r="C155" i="1" a="1"/>
  <c r="C155" i="1" s="1"/>
  <c r="D17" i="1" a="1"/>
  <c r="D17" i="1" s="1"/>
  <c r="C17" i="1" a="1"/>
  <c r="C17" i="1" s="1"/>
  <c r="F154" i="1" a="1"/>
  <c r="F154" i="1" s="1"/>
  <c r="D154" i="1" a="1"/>
  <c r="D154" i="1" s="1"/>
  <c r="C154" i="1" a="1"/>
  <c r="C154" i="1" s="1"/>
  <c r="F153" i="1" a="1"/>
  <c r="F153" i="1" s="1"/>
  <c r="D153" i="1" a="1"/>
  <c r="D153" i="1" s="1"/>
  <c r="C153" i="1" a="1"/>
  <c r="C153" i="1" s="1"/>
  <c r="D152" i="1" a="1"/>
  <c r="D152" i="1" s="1"/>
  <c r="C152" i="1" a="1"/>
  <c r="C152" i="1" s="1"/>
  <c r="D80" i="1" a="1"/>
  <c r="D80" i="1" s="1"/>
  <c r="C80" i="1" a="1"/>
  <c r="C80" i="1" s="1"/>
  <c r="D54" i="1" a="1"/>
  <c r="D54" i="1" s="1"/>
  <c r="C54" i="1" a="1"/>
  <c r="C54" i="1" s="1"/>
  <c r="F151" i="1" a="1"/>
  <c r="F151" i="1" s="1"/>
  <c r="D151" i="1" a="1"/>
  <c r="D151" i="1" s="1"/>
  <c r="C151" i="1" a="1"/>
  <c r="C151" i="1" s="1"/>
  <c r="D30" i="1" a="1"/>
  <c r="D30" i="1" s="1"/>
  <c r="C30" i="1" a="1"/>
  <c r="C30" i="1" s="1"/>
  <c r="D16" i="1" a="1"/>
  <c r="D16" i="1" s="1"/>
  <c r="C16" i="1" a="1"/>
  <c r="C16" i="1" s="1"/>
  <c r="D24" i="1" a="1"/>
  <c r="D24" i="1" s="1"/>
  <c r="C24" i="1" a="1"/>
  <c r="C24" i="1" s="1"/>
  <c r="D47" i="1" a="1"/>
  <c r="D47" i="1" s="1"/>
  <c r="C47" i="1" a="1"/>
  <c r="C47" i="1" s="1"/>
  <c r="F150" i="1" a="1"/>
  <c r="F150" i="1" s="1"/>
  <c r="D150" i="1" a="1"/>
  <c r="D150" i="1" s="1"/>
  <c r="C150" i="1" a="1"/>
  <c r="C150" i="1" s="1"/>
  <c r="D56" i="1" a="1"/>
  <c r="D56" i="1" s="1"/>
  <c r="C56" i="1" a="1"/>
  <c r="C56" i="1" s="1"/>
  <c r="D91" i="1" a="1"/>
  <c r="D91" i="1" s="1"/>
  <c r="C91" i="1" a="1"/>
  <c r="C91" i="1" s="1"/>
  <c r="F149" i="1" a="1"/>
  <c r="F149" i="1" s="1"/>
  <c r="D149" i="1" a="1"/>
  <c r="D149" i="1" s="1"/>
  <c r="C149" i="1" a="1"/>
  <c r="C149" i="1" s="1"/>
  <c r="F148" i="1" a="1"/>
  <c r="F148" i="1" s="1"/>
  <c r="D148" i="1" a="1"/>
  <c r="D148" i="1" s="1"/>
  <c r="C148" i="1" a="1"/>
  <c r="C148" i="1" s="1"/>
  <c r="F147" i="1" a="1"/>
  <c r="F147" i="1" s="1"/>
  <c r="D147" i="1" a="1"/>
  <c r="D147" i="1" s="1"/>
  <c r="C147" i="1" a="1"/>
  <c r="C147" i="1" s="1"/>
  <c r="D59" i="1" a="1"/>
  <c r="D59" i="1" s="1"/>
  <c r="C59" i="1" a="1"/>
  <c r="C59" i="1" s="1"/>
  <c r="F146" i="1" a="1"/>
  <c r="F146" i="1" s="1"/>
  <c r="D146" i="1" a="1"/>
  <c r="D146" i="1" s="1"/>
  <c r="C146" i="1" a="1"/>
  <c r="C146" i="1" s="1"/>
  <c r="F145" i="1" a="1"/>
  <c r="F145" i="1" s="1"/>
  <c r="D145" i="1" a="1"/>
  <c r="D145" i="1" s="1"/>
  <c r="C145" i="1" a="1"/>
  <c r="C145" i="1" s="1"/>
  <c r="D26" i="1" a="1"/>
  <c r="D26" i="1" s="1"/>
  <c r="C26" i="1" a="1"/>
  <c r="C26" i="1" s="1"/>
  <c r="D122" i="1" a="1"/>
  <c r="D122" i="1" s="1"/>
  <c r="C122" i="1" a="1"/>
  <c r="C122" i="1" s="1"/>
  <c r="D123" i="1" a="1"/>
  <c r="D123" i="1" s="1"/>
  <c r="C123" i="1" a="1"/>
  <c r="C123" i="1" s="1"/>
  <c r="D114" i="1" a="1"/>
  <c r="D114" i="1" s="1"/>
  <c r="C114" i="1" a="1"/>
  <c r="C114" i="1" s="1"/>
  <c r="F144" i="1" a="1"/>
  <c r="F144" i="1" s="1"/>
  <c r="D144" i="1" a="1"/>
  <c r="D144" i="1" s="1"/>
  <c r="C144" i="1" a="1"/>
  <c r="C144" i="1" s="1"/>
  <c r="D53" i="1" a="1"/>
  <c r="D53" i="1" s="1"/>
  <c r="C53" i="1" a="1"/>
  <c r="C53" i="1" s="1"/>
  <c r="D75" i="1" a="1"/>
  <c r="D75" i="1" s="1"/>
  <c r="C75" i="1" a="1"/>
  <c r="C75" i="1" s="1"/>
  <c r="F143" i="1" a="1"/>
  <c r="F143" i="1" s="1"/>
  <c r="D143" i="1" a="1"/>
  <c r="D143" i="1" s="1"/>
  <c r="C143" i="1" a="1"/>
  <c r="C143" i="1" s="1"/>
  <c r="D25" i="1" a="1"/>
  <c r="D25" i="1" s="1"/>
  <c r="C25" i="1" a="1"/>
  <c r="C25" i="1" s="1"/>
  <c r="D65" i="1" a="1"/>
  <c r="D65" i="1" s="1"/>
  <c r="C65" i="1" a="1"/>
  <c r="C65" i="1" s="1"/>
  <c r="H194" i="2" l="1" a="1"/>
  <c r="H194" i="2" s="1"/>
  <c r="H30" i="2" a="1"/>
  <c r="H30" i="2" s="1"/>
  <c r="F81" i="1" a="1"/>
  <c r="F81" i="1" s="1"/>
  <c r="F36" i="1" a="1"/>
  <c r="F36" i="1" s="1"/>
  <c r="F142" i="1" a="1"/>
  <c r="F142" i="1" s="1"/>
  <c r="H137" i="2" a="1"/>
  <c r="H137" i="2" s="1"/>
  <c r="H213" i="2" a="1"/>
  <c r="H213" i="2" s="1"/>
  <c r="H139" i="2" a="1"/>
  <c r="H139" i="2" s="1"/>
  <c r="F9" i="1" a="1"/>
  <c r="F9" i="1" s="1"/>
  <c r="F103" i="1" a="1"/>
  <c r="F103" i="1" s="1"/>
  <c r="F14" i="1" a="1"/>
  <c r="F14" i="1" s="1"/>
  <c r="F93" i="1" a="1"/>
  <c r="F93" i="1" s="1"/>
  <c r="H160" i="2" a="1"/>
  <c r="H160" i="2" s="1"/>
  <c r="H175" i="2" a="1"/>
  <c r="H175" i="2" s="1"/>
  <c r="F17" i="1" a="1"/>
  <c r="F17" i="1" s="1"/>
  <c r="F13" i="1" a="1"/>
  <c r="F13" i="1" s="1"/>
  <c r="F131" i="1" a="1"/>
  <c r="F131" i="1" s="1"/>
  <c r="F44" i="1" a="1"/>
  <c r="F44" i="1" s="1"/>
  <c r="H85" i="2" a="1"/>
  <c r="H85" i="2" s="1"/>
  <c r="H104" i="2" a="1"/>
  <c r="H104" i="2" s="1"/>
  <c r="H135" i="2" a="1"/>
  <c r="H135" i="2" s="1"/>
  <c r="H187" i="2" a="1"/>
  <c r="H187" i="2" s="1"/>
  <c r="F122" i="1" a="1"/>
  <c r="F122" i="1" s="1"/>
  <c r="F51" i="1" a="1"/>
  <c r="F51" i="1" s="1"/>
  <c r="F72" i="1" a="1"/>
  <c r="F72" i="1" s="1"/>
  <c r="F90" i="1" a="1"/>
  <c r="F90" i="1" s="1"/>
  <c r="H23" i="2" a="1"/>
  <c r="H23" i="2" s="1"/>
  <c r="H42" i="2" a="1"/>
  <c r="H42" i="2" s="1"/>
  <c r="F130" i="1" a="1"/>
  <c r="F130" i="1" s="1"/>
  <c r="F96" i="1" a="1"/>
  <c r="F96" i="1" s="1"/>
  <c r="H56" i="2" a="1"/>
  <c r="H56" i="2" s="1"/>
  <c r="H124" i="2" a="1"/>
  <c r="H124" i="2" s="1"/>
  <c r="H170" i="2" a="1"/>
  <c r="H170" i="2" s="1"/>
  <c r="F8" i="1" a="1"/>
  <c r="F8" i="1" s="1"/>
  <c r="F125" i="1" a="1"/>
  <c r="F125" i="1" s="1"/>
  <c r="H122" i="2" a="1"/>
  <c r="H122" i="2" s="1"/>
  <c r="H165" i="2" a="1"/>
  <c r="H165" i="2" s="1"/>
  <c r="H215" i="2" a="1"/>
  <c r="H215" i="2" s="1"/>
  <c r="F114" i="1" a="1"/>
  <c r="F114" i="1" s="1"/>
  <c r="F94" i="1" a="1"/>
  <c r="F94" i="1" s="1"/>
  <c r="F60" i="1" a="1"/>
  <c r="F60" i="1" s="1"/>
  <c r="H49" i="2" a="1"/>
  <c r="H49" i="2" s="1"/>
  <c r="H90" i="2" a="1"/>
  <c r="H90" i="2" s="1"/>
  <c r="F53" i="1" a="1"/>
  <c r="F53" i="1" s="1"/>
  <c r="F47" i="1" a="1"/>
  <c r="F47" i="1" s="1"/>
  <c r="F16" i="1" a="1"/>
  <c r="F16" i="1" s="1"/>
  <c r="F23" i="1" a="1"/>
  <c r="F23" i="1" s="1"/>
  <c r="F100" i="1" a="1"/>
  <c r="F100" i="1" s="1"/>
  <c r="F108" i="1" a="1"/>
  <c r="F108" i="1" s="1"/>
  <c r="F45" i="1" a="1"/>
  <c r="F45" i="1" s="1"/>
  <c r="F63" i="1" a="1"/>
  <c r="F63" i="1" s="1"/>
  <c r="F111" i="1" a="1"/>
  <c r="F111" i="1" s="1"/>
  <c r="F82" i="1" a="1"/>
  <c r="F82" i="1" s="1"/>
  <c r="F34" i="1" a="1"/>
  <c r="F34" i="1" s="1"/>
  <c r="F32" i="1" a="1"/>
  <c r="F32" i="1" s="1"/>
  <c r="F110" i="1" a="1"/>
  <c r="F110" i="1" s="1"/>
  <c r="H2" i="2" a="1"/>
  <c r="H2" i="2" s="1"/>
  <c r="H9" i="2" a="1"/>
  <c r="H9" i="2" s="1"/>
  <c r="H21" i="2" a="1"/>
  <c r="H21" i="2" s="1"/>
  <c r="H40" i="2" a="1"/>
  <c r="H40" i="2" s="1"/>
  <c r="H47" i="2" a="1"/>
  <c r="H47" i="2" s="1"/>
  <c r="H73" i="2" a="1"/>
  <c r="H73" i="2" s="1"/>
  <c r="H95" i="2" a="1"/>
  <c r="H95" i="2" s="1"/>
  <c r="H113" i="2" a="1"/>
  <c r="H113" i="2" s="1"/>
  <c r="H131" i="2" a="1"/>
  <c r="H131" i="2" s="1"/>
  <c r="H133" i="2" a="1"/>
  <c r="H133" i="2" s="1"/>
  <c r="H173" i="2" a="1"/>
  <c r="H173" i="2" s="1"/>
  <c r="H180" i="2" a="1"/>
  <c r="H180" i="2" s="1"/>
  <c r="H192" i="2" a="1"/>
  <c r="H192" i="2" s="1"/>
  <c r="H206" i="2" a="1"/>
  <c r="H206" i="2" s="1"/>
  <c r="F56" i="1" a="1"/>
  <c r="F56" i="1" s="1"/>
  <c r="F54" i="1" a="1"/>
  <c r="F54" i="1" s="1"/>
  <c r="F128" i="1" a="1"/>
  <c r="F128" i="1" s="1"/>
  <c r="F37" i="1" a="1"/>
  <c r="F37" i="1" s="1"/>
  <c r="F57" i="1" a="1"/>
  <c r="F57" i="1" s="1"/>
  <c r="F107" i="1" a="1"/>
  <c r="F107" i="1" s="1"/>
  <c r="F137" i="1" a="1"/>
  <c r="F137" i="1" s="1"/>
  <c r="F133" i="1" a="1"/>
  <c r="F133" i="1" s="1"/>
  <c r="F97" i="1" a="1"/>
  <c r="F97" i="1" s="1"/>
  <c r="F83" i="1" a="1"/>
  <c r="F83" i="1" s="1"/>
  <c r="F18" i="1" a="1"/>
  <c r="F18" i="1" s="1"/>
  <c r="F5" i="1" a="1"/>
  <c r="F5" i="1" s="1"/>
  <c r="F112" i="1" a="1"/>
  <c r="F112" i="1" s="1"/>
  <c r="F116" i="1" a="1"/>
  <c r="F116" i="1" s="1"/>
  <c r="F43" i="1" a="1"/>
  <c r="F43" i="1" s="1"/>
  <c r="F20" i="1" a="1"/>
  <c r="F20" i="1" s="1"/>
  <c r="F78" i="1" a="1"/>
  <c r="F78" i="1" s="1"/>
  <c r="F27" i="1" a="1"/>
  <c r="F27" i="1" s="1"/>
  <c r="H14" i="2" a="1"/>
  <c r="H14" i="2" s="1"/>
  <c r="H19" i="2" a="1"/>
  <c r="H19" i="2" s="1"/>
  <c r="H26" i="2" a="1"/>
  <c r="H26" i="2" s="1"/>
  <c r="H71" i="2" a="1"/>
  <c r="H71" i="2" s="1"/>
  <c r="H78" i="2" a="1"/>
  <c r="H78" i="2" s="1"/>
  <c r="H83" i="2" a="1"/>
  <c r="H83" i="2" s="1"/>
  <c r="H88" i="2" a="1"/>
  <c r="H88" i="2" s="1"/>
  <c r="H98" i="2" a="1"/>
  <c r="H98" i="2" s="1"/>
  <c r="H102" i="2" a="1"/>
  <c r="H102" i="2" s="1"/>
  <c r="H109" i="2" a="1"/>
  <c r="H109" i="2" s="1"/>
  <c r="H118" i="2" a="1"/>
  <c r="H118" i="2" s="1"/>
  <c r="H129" i="2" a="1"/>
  <c r="H129" i="2" s="1"/>
  <c r="H147" i="2" a="1"/>
  <c r="H147" i="2" s="1"/>
  <c r="H158" i="2" a="1"/>
  <c r="H158" i="2" s="1"/>
  <c r="H163" i="2" a="1"/>
  <c r="H163" i="2" s="1"/>
  <c r="H178" i="2" a="1"/>
  <c r="H178" i="2" s="1"/>
  <c r="H185" i="2" a="1"/>
  <c r="H185" i="2" s="1"/>
  <c r="H197" i="2" a="1"/>
  <c r="H197" i="2" s="1"/>
  <c r="F102" i="1" a="1"/>
  <c r="F102" i="1" s="1"/>
  <c r="F85" i="1" a="1"/>
  <c r="F85" i="1" s="1"/>
  <c r="F55" i="1" a="1"/>
  <c r="F55" i="1" s="1"/>
  <c r="F66" i="1" a="1"/>
  <c r="F66" i="1" s="1"/>
  <c r="F68" i="1" a="1"/>
  <c r="F68" i="1" s="1"/>
  <c r="F129" i="1" a="1"/>
  <c r="F129" i="1" s="1"/>
  <c r="F141" i="1" a="1"/>
  <c r="F141" i="1" s="1"/>
  <c r="F120" i="1" a="1"/>
  <c r="F120" i="1" s="1"/>
  <c r="F28" i="1" a="1"/>
  <c r="F28" i="1" s="1"/>
  <c r="F38" i="1" a="1"/>
  <c r="F38" i="1" s="1"/>
  <c r="F136" i="1" a="1"/>
  <c r="F136" i="1" s="1"/>
  <c r="F124" i="1" a="1"/>
  <c r="F124" i="1" s="1"/>
  <c r="F21" i="1" a="1"/>
  <c r="F21" i="1" s="1"/>
  <c r="F41" i="1" a="1"/>
  <c r="F41" i="1" s="1"/>
  <c r="F105" i="1" a="1"/>
  <c r="F105" i="1" s="1"/>
  <c r="F33" i="1" a="1"/>
  <c r="F33" i="1" s="1"/>
  <c r="F62" i="1" a="1"/>
  <c r="F62" i="1" s="1"/>
  <c r="F106" i="1" a="1"/>
  <c r="F106" i="1" s="1"/>
  <c r="F46" i="1" a="1"/>
  <c r="F46" i="1" s="1"/>
  <c r="H43" i="2" a="1"/>
  <c r="H43" i="2" s="1"/>
  <c r="H45" i="2" a="1"/>
  <c r="H45" i="2" s="1"/>
  <c r="H57" i="2" a="1"/>
  <c r="H57" i="2" s="1"/>
  <c r="H76" i="2" a="1"/>
  <c r="H76" i="2" s="1"/>
  <c r="H91" i="2" a="1"/>
  <c r="H91" i="2" s="1"/>
  <c r="H107" i="2" a="1"/>
  <c r="H107" i="2" s="1"/>
  <c r="H116" i="2" a="1"/>
  <c r="H116" i="2" s="1"/>
  <c r="H125" i="2" a="1"/>
  <c r="H125" i="2" s="1"/>
  <c r="H154" i="2" a="1"/>
  <c r="H154" i="2" s="1"/>
  <c r="H156" i="2" a="1"/>
  <c r="H156" i="2" s="1"/>
  <c r="H161" i="2" a="1"/>
  <c r="H161" i="2" s="1"/>
  <c r="H171" i="2" a="1"/>
  <c r="H171" i="2" s="1"/>
  <c r="H202" i="2" a="1"/>
  <c r="H202" i="2" s="1"/>
  <c r="H209" i="2" a="1"/>
  <c r="H209" i="2" s="1"/>
  <c r="F65" i="1" a="1"/>
  <c r="F65" i="1" s="1"/>
  <c r="F123" i="1" a="1"/>
  <c r="F123" i="1" s="1"/>
  <c r="F26" i="1" a="1"/>
  <c r="F26" i="1" s="1"/>
  <c r="F30" i="1" a="1"/>
  <c r="F30" i="1" s="1"/>
  <c r="F22" i="1" a="1"/>
  <c r="F22" i="1" s="1"/>
  <c r="F10" i="1" a="1"/>
  <c r="F10" i="1" s="1"/>
  <c r="F50" i="1" a="1"/>
  <c r="F50" i="1" s="1"/>
  <c r="F135" i="1" a="1"/>
  <c r="F135" i="1" s="1"/>
  <c r="F119" i="1" a="1"/>
  <c r="F119" i="1" s="1"/>
  <c r="F40" i="1" a="1"/>
  <c r="F40" i="1" s="1"/>
  <c r="F29" i="1" a="1"/>
  <c r="F29" i="1" s="1"/>
  <c r="F98" i="1" a="1"/>
  <c r="F98" i="1" s="1"/>
  <c r="F84" i="1" a="1"/>
  <c r="F84" i="1" s="1"/>
  <c r="F117" i="1" a="1"/>
  <c r="F117" i="1" s="1"/>
  <c r="F118" i="1" a="1"/>
  <c r="F118" i="1" s="1"/>
  <c r="F52" i="1" a="1"/>
  <c r="F52" i="1" s="1"/>
  <c r="F92" i="1" a="1"/>
  <c r="F92" i="1" s="1"/>
  <c r="F87" i="1" a="1"/>
  <c r="F87" i="1" s="1"/>
  <c r="F74" i="1" a="1"/>
  <c r="F74" i="1" s="1"/>
  <c r="H5" i="2" a="1"/>
  <c r="H5" i="2" s="1"/>
  <c r="H10" i="2" a="1"/>
  <c r="H10" i="2" s="1"/>
  <c r="H24" i="2" a="1"/>
  <c r="H24" i="2" s="1"/>
  <c r="H55" i="2" a="1"/>
  <c r="H55" i="2" s="1"/>
  <c r="H69" i="2" a="1"/>
  <c r="H69" i="2" s="1"/>
  <c r="H74" i="2" a="1"/>
  <c r="H74" i="2" s="1"/>
  <c r="H81" i="2" a="1"/>
  <c r="H81" i="2" s="1"/>
  <c r="H86" i="2" a="1"/>
  <c r="H86" i="2" s="1"/>
  <c r="H105" i="2" a="1"/>
  <c r="H105" i="2" s="1"/>
  <c r="H114" i="2" a="1"/>
  <c r="H114" i="2" s="1"/>
  <c r="H123" i="2" a="1"/>
  <c r="H123" i="2" s="1"/>
  <c r="H136" i="2" a="1"/>
  <c r="H136" i="2" s="1"/>
  <c r="H140" i="2" a="1"/>
  <c r="H140" i="2" s="1"/>
  <c r="H146" i="2" a="1"/>
  <c r="H146" i="2" s="1"/>
  <c r="H150" i="2" a="1"/>
  <c r="H150" i="2" s="1"/>
  <c r="H188" i="2" a="1"/>
  <c r="H188" i="2" s="1"/>
  <c r="H195" i="2" a="1"/>
  <c r="H195" i="2" s="1"/>
  <c r="H207" i="2" a="1"/>
  <c r="H207" i="2" s="1"/>
  <c r="F75" i="1" a="1"/>
  <c r="F75" i="1" s="1"/>
  <c r="F109" i="1" a="1"/>
  <c r="F109" i="1" s="1"/>
  <c r="F115" i="1" a="1"/>
  <c r="F115" i="1" s="1"/>
  <c r="F86" i="1" a="1"/>
  <c r="F86" i="1" s="1"/>
  <c r="F69" i="1" a="1"/>
  <c r="F69" i="1" s="1"/>
  <c r="F95" i="1" a="1"/>
  <c r="F95" i="1" s="1"/>
  <c r="F99" i="1" a="1"/>
  <c r="F99" i="1" s="1"/>
  <c r="F113" i="1" a="1"/>
  <c r="F113" i="1" s="1"/>
  <c r="F58" i="1" a="1"/>
  <c r="F58" i="1" s="1"/>
  <c r="F138" i="1" a="1"/>
  <c r="F138" i="1" s="1"/>
  <c r="F73" i="1" a="1"/>
  <c r="F73" i="1" s="1"/>
  <c r="F79" i="1" a="1"/>
  <c r="F79" i="1" s="1"/>
  <c r="H3" i="2" a="1"/>
  <c r="H3" i="2" s="1"/>
  <c r="H8" i="2" a="1"/>
  <c r="H8" i="2" s="1"/>
  <c r="H34" i="2" a="1"/>
  <c r="H34" i="2" s="1"/>
  <c r="H41" i="2" a="1"/>
  <c r="H41" i="2" s="1"/>
  <c r="H48" i="2" a="1"/>
  <c r="H48" i="2" s="1"/>
  <c r="H53" i="2" a="1"/>
  <c r="H53" i="2" s="1"/>
  <c r="H72" i="2" a="1"/>
  <c r="H72" i="2" s="1"/>
  <c r="H79" i="2" a="1"/>
  <c r="H79" i="2" s="1"/>
  <c r="H84" i="2" a="1"/>
  <c r="H84" i="2" s="1"/>
  <c r="H103" i="2" a="1"/>
  <c r="H103" i="2" s="1"/>
  <c r="H112" i="2" a="1"/>
  <c r="H112" i="2" s="1"/>
  <c r="H119" i="2" a="1"/>
  <c r="H119" i="2" s="1"/>
  <c r="H121" i="2" a="1"/>
  <c r="H121" i="2" s="1"/>
  <c r="H130" i="2" a="1"/>
  <c r="H130" i="2" s="1"/>
  <c r="H132" i="2" a="1"/>
  <c r="H132" i="2" s="1"/>
  <c r="H148" i="2" a="1"/>
  <c r="H148" i="2" s="1"/>
  <c r="H159" i="2" a="1"/>
  <c r="H159" i="2" s="1"/>
  <c r="H164" i="2" a="1"/>
  <c r="H164" i="2" s="1"/>
  <c r="H186" i="2" a="1"/>
  <c r="H186" i="2" s="1"/>
  <c r="H193" i="2" a="1"/>
  <c r="H193" i="2" s="1"/>
  <c r="H198" i="2" a="1"/>
  <c r="H198" i="2" s="1"/>
  <c r="H200" i="2" a="1"/>
  <c r="H200" i="2" s="1"/>
  <c r="H205" i="2" a="1"/>
  <c r="H205" i="2" s="1"/>
  <c r="F24" i="1" a="1"/>
  <c r="F24" i="1" s="1"/>
  <c r="F140" i="1" a="1"/>
  <c r="F140" i="1" s="1"/>
  <c r="F91" i="1" a="1"/>
  <c r="F91" i="1" s="1"/>
  <c r="F88" i="1" a="1"/>
  <c r="F88" i="1" s="1"/>
  <c r="F64" i="1" a="1"/>
  <c r="F64" i="1" s="1"/>
  <c r="F126" i="1" a="1"/>
  <c r="F126" i="1" s="1"/>
  <c r="F11" i="1" a="1"/>
  <c r="F11" i="1" s="1"/>
  <c r="F77" i="1" a="1"/>
  <c r="F77" i="1" s="1"/>
  <c r="F3" i="1" a="1"/>
  <c r="F3" i="1" s="1"/>
  <c r="F104" i="1" a="1"/>
  <c r="F104" i="1" s="1"/>
  <c r="F121" i="1" a="1"/>
  <c r="F121" i="1" s="1"/>
  <c r="F70" i="1" a="1"/>
  <c r="F70" i="1" s="1"/>
  <c r="F4" i="1" a="1"/>
  <c r="F4" i="1" s="1"/>
  <c r="F49" i="1" a="1"/>
  <c r="F49" i="1" s="1"/>
  <c r="F127" i="1" a="1"/>
  <c r="F127" i="1" s="1"/>
  <c r="F19" i="1" a="1"/>
  <c r="F19" i="1" s="1"/>
  <c r="F76" i="1" a="1"/>
  <c r="F76" i="1" s="1"/>
  <c r="F61" i="1" a="1"/>
  <c r="F61" i="1" s="1"/>
  <c r="F39" i="1" a="1"/>
  <c r="F39" i="1" s="1"/>
  <c r="F31" i="1" a="1"/>
  <c r="F31" i="1" s="1"/>
  <c r="F139" i="1" a="1"/>
  <c r="F139" i="1" s="1"/>
  <c r="H27" i="2" a="1"/>
  <c r="H27" i="2" s="1"/>
  <c r="H39" i="2" a="1"/>
  <c r="H39" i="2" s="1"/>
  <c r="H65" i="2" a="1"/>
  <c r="H65" i="2" s="1"/>
  <c r="H94" i="2" a="1"/>
  <c r="H94" i="2" s="1"/>
  <c r="H99" i="2" a="1"/>
  <c r="H99" i="2" s="1"/>
  <c r="H101" i="2" a="1"/>
  <c r="H101" i="2" s="1"/>
  <c r="H128" i="2" a="1"/>
  <c r="H128" i="2" s="1"/>
  <c r="H157" i="2" a="1"/>
  <c r="H157" i="2" s="1"/>
  <c r="H162" i="2" a="1"/>
  <c r="H162" i="2" s="1"/>
  <c r="H167" i="2" a="1"/>
  <c r="H167" i="2" s="1"/>
  <c r="H172" i="2" a="1"/>
  <c r="H172" i="2" s="1"/>
  <c r="H179" i="2" a="1"/>
  <c r="H179" i="2" s="1"/>
  <c r="F80" i="1" a="1"/>
  <c r="F80" i="1" s="1"/>
  <c r="F25" i="1" a="1"/>
  <c r="F25" i="1" s="1"/>
  <c r="F59" i="1" a="1"/>
  <c r="F59" i="1" s="1"/>
  <c r="F101" i="1" a="1"/>
  <c r="F101" i="1" s="1"/>
  <c r="F134" i="1" a="1"/>
  <c r="F134" i="1" s="1"/>
  <c r="F12" i="1" a="1"/>
  <c r="F12" i="1" s="1"/>
  <c r="F67" i="1" a="1"/>
  <c r="F67" i="1" s="1"/>
  <c r="F48" i="1" a="1"/>
  <c r="F48" i="1" s="1"/>
  <c r="F132" i="1" a="1"/>
  <c r="F132" i="1" s="1"/>
  <c r="F2" i="1" a="1"/>
  <c r="F2" i="1" s="1"/>
  <c r="F6" i="1" a="1"/>
  <c r="F6" i="1" s="1"/>
  <c r="F7" i="1" a="1"/>
  <c r="F7" i="1" s="1"/>
  <c r="F35" i="1" a="1"/>
  <c r="F35" i="1" s="1"/>
  <c r="F15" i="1" a="1"/>
  <c r="F15" i="1" s="1"/>
  <c r="F71" i="1" a="1"/>
  <c r="F71" i="1" s="1"/>
  <c r="F89" i="1" a="1"/>
  <c r="F89" i="1" s="1"/>
  <c r="F42" i="1" a="1"/>
  <c r="F42" i="1" s="1"/>
  <c r="H6" i="2" a="1"/>
  <c r="H6" i="2" s="1"/>
  <c r="H11" i="2" a="1"/>
  <c r="H11" i="2" s="1"/>
  <c r="H18" i="2" a="1"/>
  <c r="H18" i="2" s="1"/>
  <c r="H70" i="2" a="1"/>
  <c r="H70" i="2" s="1"/>
  <c r="H77" i="2" a="1"/>
  <c r="H77" i="2" s="1"/>
  <c r="H82" i="2" a="1"/>
  <c r="H82" i="2" s="1"/>
  <c r="H87" i="2" a="1"/>
  <c r="H87" i="2" s="1"/>
  <c r="H92" i="2" a="1"/>
  <c r="H92" i="2" s="1"/>
  <c r="H97" i="2" a="1"/>
  <c r="H97" i="2" s="1"/>
  <c r="H117" i="2" a="1"/>
  <c r="H117" i="2" s="1"/>
  <c r="H126" i="2" a="1"/>
  <c r="H126" i="2" s="1"/>
  <c r="H151" i="2" a="1"/>
  <c r="H151" i="2" s="1"/>
  <c r="H153" i="2" a="1"/>
  <c r="H153" i="2" s="1"/>
  <c r="H184" i="2" a="1"/>
  <c r="H184" i="2" s="1"/>
  <c r="H189" i="2" a="1"/>
  <c r="H189" i="2" s="1"/>
  <c r="H196" i="2" a="1"/>
  <c r="H196" i="2" s="1"/>
  <c r="H208" i="2" a="1"/>
  <c r="H208" i="2" s="1"/>
</calcChain>
</file>

<file path=xl/sharedStrings.xml><?xml version="1.0" encoding="utf-8"?>
<sst xmlns="http://schemas.openxmlformats.org/spreadsheetml/2006/main" count="5558" uniqueCount="2678">
  <si>
    <t>Cluster</t>
  </si>
  <si>
    <t>School</t>
  </si>
  <si>
    <t>School Code</t>
  </si>
  <si>
    <t>Principal</t>
  </si>
  <si>
    <t>Principal Email</t>
  </si>
  <si>
    <t>FY24 Parent Community Coordinators (PCCs)</t>
  </si>
  <si>
    <t>PCC FNLN</t>
  </si>
  <si>
    <t>PCC Email</t>
  </si>
  <si>
    <t>PPW Email</t>
  </si>
  <si>
    <t>ETC Emails</t>
  </si>
  <si>
    <t>Kennedy</t>
  </si>
  <si>
    <t>Arcola ES</t>
  </si>
  <si>
    <t xml:space="preserve">Huynh, Ms. Theresa </t>
  </si>
  <si>
    <t>theresa_p_huynh@mcpsmd.org</t>
  </si>
  <si>
    <t>Prince, Mrs. Allison</t>
  </si>
  <si>
    <t>Allison_L_Prince-Sistrunk@mcpsmd.org</t>
  </si>
  <si>
    <t>Gonzalez Matos, Ms. Lorena</t>
  </si>
  <si>
    <t>Lorena_I_GonzalezMatos@mcpsmd.org</t>
  </si>
  <si>
    <t>Argyle MS</t>
  </si>
  <si>
    <t>Cordova-Orellana, Mrs. Kateri</t>
  </si>
  <si>
    <t>kateri_m_cordova-orellana@mcpsmd.org</t>
  </si>
  <si>
    <t>Earley, Mrs. Gina</t>
  </si>
  <si>
    <t>Gina_R_Calvachi@mcpsmd.org</t>
  </si>
  <si>
    <t>Jean, Ms. Edelle</t>
  </si>
  <si>
    <t>edelle_jean@mcpsmd.org</t>
  </si>
  <si>
    <t>Walter Johnson</t>
  </si>
  <si>
    <t>Ashburton ES</t>
  </si>
  <si>
    <t>Toole, Ms. Valerie</t>
  </si>
  <si>
    <t>Valerie_P_Toole@mcpsmd.org</t>
  </si>
  <si>
    <t>Damascus</t>
  </si>
  <si>
    <t>Baker MS</t>
  </si>
  <si>
    <t>Hammond, Ms. Laura L.</t>
  </si>
  <si>
    <t>Kim, Ms. Molly</t>
  </si>
  <si>
    <t>molly_s_kim@mcpsmd.org</t>
  </si>
  <si>
    <t>Elza, Mrs. Amy</t>
  </si>
  <si>
    <t>Amy_M_Elza@mcpsmd.org</t>
  </si>
  <si>
    <t>Paint Branch</t>
  </si>
  <si>
    <t>Banneker, Benjamin MS</t>
  </si>
  <si>
    <t>Parker, Mrs. Patricia</t>
  </si>
  <si>
    <t>Gordon, Ms. Deneen</t>
  </si>
  <si>
    <t>deneen_l_gordon@mcpsmd.org</t>
  </si>
  <si>
    <t>Whitman</t>
  </si>
  <si>
    <t>Bannockburn ES</t>
  </si>
  <si>
    <t>Garraway, Dr. Renee</t>
  </si>
  <si>
    <t>renee_l_garraway@mcpsmd.org</t>
  </si>
  <si>
    <t>Rockville</t>
  </si>
  <si>
    <t>Barnsley, Lucy V. ES</t>
  </si>
  <si>
    <t>Laks, Mrs. Jessica</t>
  </si>
  <si>
    <t>Rowry Sadur, Ms. Cynthia</t>
  </si>
  <si>
    <t>cynthia_y_sadur@mcpsmd.org</t>
  </si>
  <si>
    <t>Carter, Ms. Andrea</t>
  </si>
  <si>
    <t>Andrea_Carter@mcpsmd.org</t>
  </si>
  <si>
    <t>Richard Montgomery</t>
  </si>
  <si>
    <t>Bayard Rustin</t>
  </si>
  <si>
    <t>Smith, Mr. Jeremy</t>
  </si>
  <si>
    <t>jeremy_r_smith@mcpsmd.org</t>
  </si>
  <si>
    <t>Beall ES</t>
  </si>
  <si>
    <t>Shen, Ms. Lily</t>
  </si>
  <si>
    <t>lily_l_shen@mcpsmd.org</t>
  </si>
  <si>
    <t>Harris, Ms. Tawana</t>
  </si>
  <si>
    <t>Tawana_C_Harris@mcpsmd.org</t>
  </si>
  <si>
    <t>Bel Pre ES</t>
  </si>
  <si>
    <t>Robinson, Dr. Todd</t>
  </si>
  <si>
    <t>Bader, Ms. Leocadie</t>
  </si>
  <si>
    <t>Leocadie_A_Bader@mcpsmd.org</t>
  </si>
  <si>
    <t>Churchill</t>
  </si>
  <si>
    <t>Bells Mill ES</t>
  </si>
  <si>
    <t>Grana, Mrs. Meghan</t>
  </si>
  <si>
    <t>Meghan_Q_Grana@mcpsmd.org</t>
  </si>
  <si>
    <t>Sherwood</t>
  </si>
  <si>
    <t>Belmont ES</t>
  </si>
  <si>
    <t>Kim, Dr. Nayoung</t>
  </si>
  <si>
    <t>McPherson, Ms. Renae</t>
  </si>
  <si>
    <t>Renae_M_McPherson@mcpsmd.org</t>
  </si>
  <si>
    <t>BCC</t>
  </si>
  <si>
    <t>Bethesda Chevy Chase HS</t>
  </si>
  <si>
    <t>Lindenfeld, Ms. Rachel</t>
  </si>
  <si>
    <t>Haza, Mrs. Elia</t>
  </si>
  <si>
    <t>elia_a_haza@mcpsmd.org</t>
  </si>
  <si>
    <t>Gysberts, Mr. David</t>
  </si>
  <si>
    <t>David_S_Gysberts@mcpsmd.org</t>
  </si>
  <si>
    <t>Le, Mr. Thomas</t>
  </si>
  <si>
    <t>thomas_v_le@mcpsmd.org</t>
  </si>
  <si>
    <t>Julia Swissman</t>
  </si>
  <si>
    <t>Bethesda ES</t>
  </si>
  <si>
    <t>Adams, Mr. Nathan</t>
  </si>
  <si>
    <t>Beverly Farms ES</t>
  </si>
  <si>
    <t>Lowther, Dr. Edward</t>
  </si>
  <si>
    <t>Edward_G_Lowther@mcpsmd.org</t>
  </si>
  <si>
    <t>Special Programs</t>
  </si>
  <si>
    <t>Blair Ewing Center</t>
  </si>
  <si>
    <t>Fegadel, Mrs. Kim</t>
  </si>
  <si>
    <t>Blair</t>
  </si>
  <si>
    <t>Blair, Montgomery HS + TTI/CCC</t>
  </si>
  <si>
    <t>Campbell, Ms. Janice/Simpson, Dr. Toria (1 days a week)</t>
  </si>
  <si>
    <t>Nabavian, Mrs. Farzaneh</t>
  </si>
  <si>
    <t>farzaneh_nabavian@mcpsmd.org</t>
  </si>
  <si>
    <t>Clark, Ms. Tee</t>
  </si>
  <si>
    <t>Tee_Clark@mcpsmc.org</t>
  </si>
  <si>
    <t>Contreras, Lia E</t>
  </si>
  <si>
    <t>Emily Callaghan</t>
  </si>
  <si>
    <t>Blake</t>
  </si>
  <si>
    <t>Blake, James Hubert HS</t>
  </si>
  <si>
    <t>Granados, Ms. Crystal</t>
  </si>
  <si>
    <t>crystal_granados@mcpsmd.org</t>
  </si>
  <si>
    <t>Clark, Ms. Lisa</t>
  </si>
  <si>
    <t>Lisa_K_Clark@mcpsmd.org</t>
  </si>
  <si>
    <t>Aregai, Ms. Nazareth</t>
  </si>
  <si>
    <t>nazareth_aregai@mcpsmd.org</t>
  </si>
  <si>
    <t>Cheyenne Frenz</t>
  </si>
  <si>
    <t>Bradley Hills ES</t>
  </si>
  <si>
    <t>Williams, Mrs. Julia</t>
  </si>
  <si>
    <t>Julia_Williams@mcpsmd.org</t>
  </si>
  <si>
    <t>Briggs Chaney MS</t>
  </si>
  <si>
    <t>Gilchrist, Mrs. Jade</t>
  </si>
  <si>
    <t>jade_l_gilchrist@mcpsmd.org</t>
  </si>
  <si>
    <t>Brooke Grove ES</t>
  </si>
  <si>
    <t>Arker, Mrs. Emily</t>
  </si>
  <si>
    <t xml:space="preserve">Choi, Ms. Youngmee </t>
  </si>
  <si>
    <t>youngmee_choi@mcpsmd.org</t>
  </si>
  <si>
    <t>Maynard, Ms. LaJuana</t>
  </si>
  <si>
    <t>LaJuana_B_Maynard@mcpsmd.org</t>
  </si>
  <si>
    <t>Wheaton</t>
  </si>
  <si>
    <t>Brookhaven ES</t>
  </si>
  <si>
    <t>Rodriguez, Mrs. Jamie</t>
  </si>
  <si>
    <t>Candanedo, Mr. Nivardo</t>
  </si>
  <si>
    <t>nivardo_candanedo@mcpsmd.org</t>
  </si>
  <si>
    <t>Cardona, Mrs. Kassie</t>
  </si>
  <si>
    <t>Kassie_T_Cardona@mcpsmd.org</t>
  </si>
  <si>
    <t>Quince Orchard</t>
  </si>
  <si>
    <t>Brown Station ES</t>
  </si>
  <si>
    <t>Corrales, Ms. Sandy</t>
  </si>
  <si>
    <t>sandy_a_corrales@mcpsmd.org</t>
  </si>
  <si>
    <t>O'Connell, Ms. Ellen</t>
  </si>
  <si>
    <t>Ellen_C_O'Connell@mcpsmd.org</t>
  </si>
  <si>
    <t>Innocent, Ms. Tekshia</t>
  </si>
  <si>
    <t>tekshia_innocent@mcpsmd.org</t>
  </si>
  <si>
    <t>Burning Tree ES</t>
  </si>
  <si>
    <t>Oyson, Ms. Katherine</t>
  </si>
  <si>
    <t>Springbrook</t>
  </si>
  <si>
    <t>Burnt Mills ES</t>
  </si>
  <si>
    <t>Attaway, Ms. Latia</t>
  </si>
  <si>
    <t>Bryan, Dr. Augustina</t>
  </si>
  <si>
    <t>Augustina_L_Bryan@mcpsmd.org</t>
  </si>
  <si>
    <t>Dorranian, Ms. Zahra</t>
  </si>
  <si>
    <t>Burtonsville ES</t>
  </si>
  <si>
    <t>Mebrate, Mr. Getasew</t>
  </si>
  <si>
    <t>getasew_j_mebrate@mcpsmd.org</t>
  </si>
  <si>
    <t>Clarksburg</t>
  </si>
  <si>
    <t>Cabin Branch ES * NEW * (former Clarksburg # 9)</t>
  </si>
  <si>
    <t>Tyson, Mr. William C.</t>
  </si>
  <si>
    <t>Recks, Mrs. Amy</t>
  </si>
  <si>
    <t>Amy_J_Recks@mcpsmd.org</t>
  </si>
  <si>
    <t>Cabin John MS</t>
  </si>
  <si>
    <t>Magruder</t>
  </si>
  <si>
    <t>Candlewood ES</t>
  </si>
  <si>
    <t>Gracyalny, Mrs. Kristen</t>
  </si>
  <si>
    <t>Niedomanski, Miss Tami</t>
  </si>
  <si>
    <t>Tamara_L_Niedomanski@mcpsmd.org</t>
  </si>
  <si>
    <t>Cannon Road ES</t>
  </si>
  <si>
    <t>St. John, Ms. Jacqueline</t>
  </si>
  <si>
    <t>Jacqueline_M_StJohn@mcpsmd.org</t>
  </si>
  <si>
    <t>Carderock Springs ES</t>
  </si>
  <si>
    <t>Ruiz, Mrs. Melissa</t>
  </si>
  <si>
    <t>Carl Sandburg</t>
  </si>
  <si>
    <t>Carson, Rachel ES</t>
  </si>
  <si>
    <t>Hotchkiss, Ms. Catherine</t>
  </si>
  <si>
    <t>Earley, Mr. David</t>
  </si>
  <si>
    <t>David_E_Earley@mcpsmd.org</t>
  </si>
  <si>
    <t>Cashell ES</t>
  </si>
  <si>
    <t>Choi, Ms. YoungMee</t>
  </si>
  <si>
    <t>Gaston, Ms. Robyn</t>
  </si>
  <si>
    <t>Robyn_L_Gaston@mcpsmd.org</t>
  </si>
  <si>
    <t>Cedar Grove ES</t>
  </si>
  <si>
    <t>Jones, Ms. Alexis</t>
  </si>
  <si>
    <t>Mathis, Ms. Treasure</t>
  </si>
  <si>
    <t>Treasure_L_Mathis@mcpsmd.org</t>
  </si>
  <si>
    <t>Chevy Chase ES</t>
  </si>
  <si>
    <t>Churchill, Winston HS</t>
  </si>
  <si>
    <t>Braun, Ms. Lillian</t>
  </si>
  <si>
    <t>Lowther, Dr. Ed</t>
  </si>
  <si>
    <t>Peter Freudenberger</t>
  </si>
  <si>
    <t>Clarksburg ES</t>
  </si>
  <si>
    <t>Bailey, Mrs. Shana</t>
  </si>
  <si>
    <t>shana_e_bailey@mcpsmd.org</t>
  </si>
  <si>
    <t>Clarksburg HS</t>
  </si>
  <si>
    <t>Lester, Mrs. Dawn M.</t>
  </si>
  <si>
    <t>Wei, Ms. Esther</t>
  </si>
  <si>
    <t>esther_y_wei@mcpsmd.org</t>
  </si>
  <si>
    <t>Clearspring ES</t>
  </si>
  <si>
    <t>Kurth-Ford, Mr. Greg T.</t>
  </si>
  <si>
    <t>Palleres, Ms. Veronica</t>
  </si>
  <si>
    <t>veronica_i_palleres@mcpsmd.org</t>
  </si>
  <si>
    <t>Kiang Spray, Ms. Wendy</t>
  </si>
  <si>
    <t>Wendy_KiangSpray@mcpsmd.org</t>
  </si>
  <si>
    <t>Northwest</t>
  </si>
  <si>
    <t>Clemente MS</t>
  </si>
  <si>
    <t>Bateman, Mrs. Stacey</t>
  </si>
  <si>
    <t>Sobalvarro-Ochoa, Ms. Magda</t>
  </si>
  <si>
    <t xml:space="preserve">magda_m_sobalvarro-ochoa@mcpsmd.org </t>
  </si>
  <si>
    <t>Bonilla, Mrs. Audrik</t>
  </si>
  <si>
    <t>Audrik_V_Bonilla@mcpsmd.org</t>
  </si>
  <si>
    <t>Vakas, Ms. Maya</t>
  </si>
  <si>
    <t>Clopper Mill ES</t>
  </si>
  <si>
    <t>Moore, Ms. Shanique</t>
  </si>
  <si>
    <t>shanique_v_moore@mcpsmd.org</t>
  </si>
  <si>
    <t>Logan, Mr. Jerry</t>
  </si>
  <si>
    <t>Jerry_H_Logan@mcpsmd.org</t>
  </si>
  <si>
    <t>Cloverly ES</t>
  </si>
  <si>
    <t>Deugenio Pinel, Ms. Zoe</t>
  </si>
  <si>
    <t>zoe_f_deugeniopinel@mcpsmd.org</t>
  </si>
  <si>
    <t>Wootton</t>
  </si>
  <si>
    <t>Cold Spring ES</t>
  </si>
  <si>
    <t>Brenda_McDonnell-McKenna@mcpsmd.org</t>
  </si>
  <si>
    <t>College Garden ES</t>
  </si>
  <si>
    <t>Kaplan, Mrs. Emily</t>
  </si>
  <si>
    <t>Court Liaison Specialist</t>
  </si>
  <si>
    <t>N/A</t>
  </si>
  <si>
    <t>Scott, Mrs.Tia</t>
  </si>
  <si>
    <t>tia_r_scott@mcpsmd.org</t>
  </si>
  <si>
    <t>Cresthaven ES</t>
  </si>
  <si>
    <t>Arooj, Ms. Ferwaha</t>
  </si>
  <si>
    <t>St. John, Ms. Jackie</t>
  </si>
  <si>
    <t>Daly, Capt. James E. ES</t>
  </si>
  <si>
    <t>Dougherty, Mrs. Sue B.</t>
  </si>
  <si>
    <t>Williams, Ms. Martha (Paty)</t>
  </si>
  <si>
    <t xml:space="preserve">martha_p_williams@mcpsmd.org </t>
  </si>
  <si>
    <t>Damascus ES</t>
  </si>
  <si>
    <t>Damascus HS</t>
  </si>
  <si>
    <t>Jessica Talley</t>
  </si>
  <si>
    <t>Darnestown ES</t>
  </si>
  <si>
    <t>Burrows, Miss Jennifer E.</t>
  </si>
  <si>
    <t>Diamond ES</t>
  </si>
  <si>
    <t>Drew, Dr. Charles R. ES</t>
  </si>
  <si>
    <t>Zuniga, Ms. Evelyn</t>
  </si>
  <si>
    <t>evelyn_zuniga-sanchez@mcpsmd.org</t>
  </si>
  <si>
    <t>DuFief ES</t>
  </si>
  <si>
    <t>East Silver Spring ES</t>
  </si>
  <si>
    <t>Huynh, Ms. Theresa</t>
  </si>
  <si>
    <t>Wilson, Mrs. La Schell</t>
  </si>
  <si>
    <t>LaSchell_S_Wilson@mcpsmd.org</t>
  </si>
  <si>
    <t>Eastern MS</t>
  </si>
  <si>
    <t>Medrano-Romero, Ms. Mirna</t>
  </si>
  <si>
    <t xml:space="preserve">mirna_a_medrano-romero@mcpsmd.org </t>
  </si>
  <si>
    <t>Adams, Miss Karen</t>
  </si>
  <si>
    <t>Karen_A_Adams@mcpsmd.org</t>
  </si>
  <si>
    <t>Pimienta, Ms. Monica</t>
  </si>
  <si>
    <t>Einstein</t>
  </si>
  <si>
    <t>Einstein, Albert HS</t>
  </si>
  <si>
    <t>Buitrago, Mr. Oscar</t>
  </si>
  <si>
    <t>oscar_a_buitrago@mcpsmd.org</t>
  </si>
  <si>
    <t>Chance, Ms. Caroline</t>
  </si>
  <si>
    <t>Jonathan Somarriba</t>
  </si>
  <si>
    <t>Senaida Sharif-Ture</t>
  </si>
  <si>
    <t>Extensions @ Candelwood</t>
  </si>
  <si>
    <t>Extensions @ Einstein</t>
  </si>
  <si>
    <t>Dorsey, Ms. Niccole</t>
  </si>
  <si>
    <t>Extensions @ Lakelands Park</t>
  </si>
  <si>
    <t>Extensions @ Lee</t>
  </si>
  <si>
    <t>Extensions @ QO</t>
  </si>
  <si>
    <t>Extensions @ Rock Terrace</t>
  </si>
  <si>
    <t>Vaganek, Dr. Megan</t>
  </si>
  <si>
    <t>Extensions @ Wheaton Woods</t>
  </si>
  <si>
    <t>Fairland ES</t>
  </si>
  <si>
    <t>Fallsmead ES</t>
  </si>
  <si>
    <t>Farmland ES</t>
  </si>
  <si>
    <t>Jordan, Mr. Steven M.</t>
  </si>
  <si>
    <t>Farquhar, William H. MS</t>
  </si>
  <si>
    <t>Engel-Green, Dr. Leah</t>
  </si>
  <si>
    <t>Smith, Mr. Duane</t>
  </si>
  <si>
    <t>Duane_A_Smith@mcpsmd.org</t>
  </si>
  <si>
    <t>Fields Road ES</t>
  </si>
  <si>
    <t>Raffo, Ms. Giovanna</t>
  </si>
  <si>
    <t>giovanna_c_raffo@mcpsmd.org</t>
  </si>
  <si>
    <t>Flower Hill ES</t>
  </si>
  <si>
    <t>Ryan, Dr. Ashley</t>
  </si>
  <si>
    <t>Sobalvarro-Ochoa, Mrs. Magda</t>
  </si>
  <si>
    <t>magda_m_sobalvarro@mcpsmd.org</t>
  </si>
  <si>
    <t>Flower Valley ES</t>
  </si>
  <si>
    <t>Valenzia, Mrs. Virginia A.</t>
  </si>
  <si>
    <t>Nguyen, Ms. Lan</t>
  </si>
  <si>
    <t>lan_n_nguyen@mcpsmd.org</t>
  </si>
  <si>
    <t>Keene-King, Ms. Monique</t>
  </si>
  <si>
    <t>Monique_Keene-King@mcpsmd.org</t>
  </si>
  <si>
    <t>Northwood</t>
  </si>
  <si>
    <t>Forest Knolls ES</t>
  </si>
  <si>
    <t>Simpson, Dr. Toria</t>
  </si>
  <si>
    <t>Gonzalez, Ms. Veronica</t>
  </si>
  <si>
    <t>veronica_gonzalez@mcpsmd.org</t>
  </si>
  <si>
    <t>Thomas, Mr. Dwayne</t>
  </si>
  <si>
    <t>Dwayne_Thomas@mcpsmd.org</t>
  </si>
  <si>
    <t>Gaithersburg</t>
  </si>
  <si>
    <t>Forest Oak MS</t>
  </si>
  <si>
    <t>Thomas, Ms. Claire</t>
  </si>
  <si>
    <t>Rivas, Ms. Ana E.</t>
  </si>
  <si>
    <t>Fox Chapel ES</t>
  </si>
  <si>
    <t>martha_p_williams@mcpsmd.org</t>
  </si>
  <si>
    <t>Frost, Robert MS</t>
  </si>
  <si>
    <t>Huang, Dr. Sharon</t>
  </si>
  <si>
    <t>Gaithersburg ES</t>
  </si>
  <si>
    <t>Jarquin, Mrs. Alejandra</t>
  </si>
  <si>
    <t>alejandra_g_jarquin@mcpsmd.org</t>
  </si>
  <si>
    <t>Roberts, Ms. Charmaine</t>
  </si>
  <si>
    <t>Charmaine_C_Roberts@mcpsmd.org</t>
  </si>
  <si>
    <t>Gaithersburg HS</t>
  </si>
  <si>
    <t>Alomar, Ms. Lisa</t>
  </si>
  <si>
    <t>Luis Amaro</t>
  </si>
  <si>
    <t>Michelle Valderrama</t>
  </si>
  <si>
    <t>Gaithersburg MS</t>
  </si>
  <si>
    <t>Galway ES</t>
  </si>
  <si>
    <t>Dotson, Ms. Cierra</t>
  </si>
  <si>
    <t>Hollys_Hainer@mcpsmd.org</t>
  </si>
  <si>
    <t>Yeshanew, Mr. Girma</t>
  </si>
  <si>
    <t>Garrett Park ES</t>
  </si>
  <si>
    <t>McDuffie, Mr. Darryl</t>
  </si>
  <si>
    <t>Darryl_J_McDuffie@mcpsmd.org</t>
  </si>
  <si>
    <t>Georgian Forest ES</t>
  </si>
  <si>
    <t>Tsai, Mrs. Annie</t>
  </si>
  <si>
    <t>fuijin_a_tsai@mcpsmd.org</t>
  </si>
  <si>
    <t>Marroquin, Mr. Walter</t>
  </si>
  <si>
    <t>Germantown ES</t>
  </si>
  <si>
    <t>Woods, Ms. Sandra</t>
  </si>
  <si>
    <t xml:space="preserve">sandra_g_woods@mcpsmd.org </t>
  </si>
  <si>
    <t>Gibbs, William ES</t>
  </si>
  <si>
    <t>Bailey, Ms. Shana</t>
  </si>
  <si>
    <t>Glen Haven ES</t>
  </si>
  <si>
    <t>Partis, Ms. Rachel</t>
  </si>
  <si>
    <t>Lindsey, Mrs. Zakia</t>
  </si>
  <si>
    <t>Zakia_M_Lindsey@mcpsmd.org</t>
  </si>
  <si>
    <t>Glenallen ES</t>
  </si>
  <si>
    <t>Alcoba, Mr. John</t>
  </si>
  <si>
    <t>john_j_alcoba@mcpsmd.org</t>
  </si>
  <si>
    <t>Goshen ES</t>
  </si>
  <si>
    <t>Burke, Mrs. Arelis</t>
  </si>
  <si>
    <t>arelis_a_burke@mcpsmd.org</t>
  </si>
  <si>
    <t>Great Seneca Creek ES</t>
  </si>
  <si>
    <t>Santos, Ms. Patricia</t>
  </si>
  <si>
    <t>patricia_ubiera@mcpsmd.org</t>
  </si>
  <si>
    <t>Greencastle ES</t>
  </si>
  <si>
    <t>Greenwood ES</t>
  </si>
  <si>
    <t>Novick, Ms. Jennifer M.</t>
  </si>
  <si>
    <t>Maynard, Mrs. LaJuana</t>
  </si>
  <si>
    <t>Harmony Hills ES</t>
  </si>
  <si>
    <t>Nava, Mrs. Ana</t>
  </si>
  <si>
    <t>ana_l_nava@mcpsmd.org</t>
  </si>
  <si>
    <t>Perkins, Ms. Lesia</t>
  </si>
  <si>
    <t>Lesia_R_Perkins@mcpsmd.org</t>
  </si>
  <si>
    <t>Highland ES</t>
  </si>
  <si>
    <t>Ferman, Mrs. Marta</t>
  </si>
  <si>
    <t>marta_s_ferman@mcpsmd.org</t>
  </si>
  <si>
    <t>Perrone, Mr. Scott</t>
  </si>
  <si>
    <t>Scott_Perrone@mcpsmd.org</t>
  </si>
  <si>
    <t>Highland View ES</t>
  </si>
  <si>
    <t>Thomas, Mrs. Michelle</t>
  </si>
  <si>
    <t>Michelle_C_Thomas@mcpsmd.org</t>
  </si>
  <si>
    <t>Hoover MS</t>
  </si>
  <si>
    <t>Zolecki, Ms. Maryam</t>
  </si>
  <si>
    <t>Jackson Road ES</t>
  </si>
  <si>
    <t>Lambert, Ms. Luz</t>
  </si>
  <si>
    <t>luz_s_lambert@mcpsmd.org</t>
  </si>
  <si>
    <t>JoAnn Leleck ES @ Broad Acres</t>
  </si>
  <si>
    <t>Nkemleke, Mr. Barnabas</t>
  </si>
  <si>
    <t>asonglefac_b_nkemleke@mcpsmd.org</t>
  </si>
  <si>
    <t>Fisher, Mr. Terrence</t>
  </si>
  <si>
    <t>Terrence_T_Fisher@mcpsmd.org</t>
  </si>
  <si>
    <t>Reyes-Escobar, Ms. Jocelyn</t>
  </si>
  <si>
    <t>Johnson, Walter HS</t>
  </si>
  <si>
    <t>McGonigle, Ms. Kim</t>
  </si>
  <si>
    <t>Catherine Kennedy</t>
  </si>
  <si>
    <t>Jones Lane ES</t>
  </si>
  <si>
    <t>Newlands, Ms. Alicia</t>
  </si>
  <si>
    <t>alicia_p_newlands@mcpsmd.org</t>
  </si>
  <si>
    <t>Kemp Mill ES</t>
  </si>
  <si>
    <t>Prince, Ms. Allison</t>
  </si>
  <si>
    <t>Kennedy, John F. HS</t>
  </si>
  <si>
    <t>Medina, Ms. Kimberly</t>
  </si>
  <si>
    <t>Medrano Romero, Ms. Mirna</t>
  </si>
  <si>
    <t>mirna_a_medrano-romero@mcpsmd.org</t>
  </si>
  <si>
    <t>Cardona, Ms. Kassie</t>
  </si>
  <si>
    <t>Lepinsky, Karla J</t>
  </si>
  <si>
    <t>Naomi Johnson</t>
  </si>
  <si>
    <t>Kensington Parkwood ES</t>
  </si>
  <si>
    <t>Key, Francis Scott MS</t>
  </si>
  <si>
    <t>Seneca Valley</t>
  </si>
  <si>
    <t>King, Martin L. MS</t>
  </si>
  <si>
    <t>Alving, Ms. Giuseppina</t>
  </si>
  <si>
    <t>giuseppina_alving@mcpsmd.org</t>
  </si>
  <si>
    <t>Ehlers, Mrs. Jennifer</t>
  </si>
  <si>
    <t>Jennifer_S_Ehlers@mcpsmd.org</t>
  </si>
  <si>
    <t>Kingsview MS</t>
  </si>
  <si>
    <t>Linde, Mrs. Rachel</t>
  </si>
  <si>
    <t>Lake Seneca ES</t>
  </si>
  <si>
    <t>Lakelands Park MS</t>
  </si>
  <si>
    <t>Corrales, Mrs. Sandy</t>
  </si>
  <si>
    <t>Lee, Ms. Joy</t>
  </si>
  <si>
    <t>Lakewood ES</t>
  </si>
  <si>
    <t>Laytonsville ES</t>
  </si>
  <si>
    <t xml:space="preserve">Little Bennett ES </t>
  </si>
  <si>
    <t>Murray, Ms. Sabrina</t>
  </si>
  <si>
    <t>Sabrina_C_Murray@mcpsmd.org</t>
  </si>
  <si>
    <t>Loiederman, A. Mario MS</t>
  </si>
  <si>
    <t>Fisher, Ms. Elisabeth</t>
  </si>
  <si>
    <t xml:space="preserve">Longview School </t>
  </si>
  <si>
    <t>Luxmanor ES</t>
  </si>
  <si>
    <t>Magruder, Col. Zadok HS</t>
  </si>
  <si>
    <t>Kaur, Ms. Harman</t>
  </si>
  <si>
    <t>Rebecca Heagy</t>
  </si>
  <si>
    <t>Marshall, Thurgood ES</t>
  </si>
  <si>
    <t>Maryvale ES</t>
  </si>
  <si>
    <t>Liu-Trofimovsky, Dr. Jia</t>
  </si>
  <si>
    <t>Hentati, Mrs. Saida</t>
  </si>
  <si>
    <t>saida_hentati@mcpsmd.org</t>
  </si>
  <si>
    <t>Matsunaga, Spark M. ES</t>
  </si>
  <si>
    <t>McAuliffe, Christa S. ES</t>
  </si>
  <si>
    <t xml:space="preserve">Alving, Ms. Giuseppina </t>
  </si>
  <si>
    <t>McNair, Ronald ES</t>
  </si>
  <si>
    <t>Meadow Hall ES</t>
  </si>
  <si>
    <t xml:space="preserve">Garduno Villa, Mr. Eduardo </t>
  </si>
  <si>
    <t>eduardo_gardunovilla@mcpsmd.org</t>
  </si>
  <si>
    <t>Mill Creek Towne ES</t>
  </si>
  <si>
    <t xml:space="preserve">cynthia_y_sadur@mcpsmd.org </t>
  </si>
  <si>
    <t>Poolesville</t>
  </si>
  <si>
    <t>Monocacy ES</t>
  </si>
  <si>
    <t>Buckholz, Ms. Madison</t>
  </si>
  <si>
    <t>Boteler, Mr. Jason</t>
  </si>
  <si>
    <t>Jason_W_Boteler@mcpsmd.org</t>
  </si>
  <si>
    <t>Montgomery Knolls ES</t>
  </si>
  <si>
    <t>Molina-Chemali, Mr. Pablo</t>
  </si>
  <si>
    <t>pablo_l_molinachemali@mcpsmd.org</t>
  </si>
  <si>
    <t>Watkins Mill</t>
  </si>
  <si>
    <t>Montgomery Village MS</t>
  </si>
  <si>
    <t>Herrera-Jurado, Ms. Dary</t>
  </si>
  <si>
    <t>dary_y_herrera-jurado@mcpsmd.org</t>
  </si>
  <si>
    <t>Poker, Ms. Kristy</t>
  </si>
  <si>
    <t>Kristy_A_Poker@mcpsmd.org</t>
  </si>
  <si>
    <t>Miguel, Ms. Elizabeth</t>
  </si>
  <si>
    <t>Montgomery, Richard HS + TTI/CCC mid county</t>
  </si>
  <si>
    <t>Nesson, Dr. Lisa</t>
  </si>
  <si>
    <t>Quiroga, Mr. Gonzalo</t>
  </si>
  <si>
    <t>gonzalo_m_quiroga@mcpsmd.org</t>
  </si>
  <si>
    <t>Amanda Serino</t>
  </si>
  <si>
    <t>Neelsville MS</t>
  </si>
  <si>
    <t>Pearson, Dr. Jeremy</t>
  </si>
  <si>
    <t xml:space="preserve">Candanedo, Mr. Nivardo </t>
  </si>
  <si>
    <t>Chaves, Ms. Rina</t>
  </si>
  <si>
    <t>New Hampshire Estates ES</t>
  </si>
  <si>
    <t>Potter, Mrs. Audrey</t>
  </si>
  <si>
    <t>Laureano, Ms. Melissa</t>
  </si>
  <si>
    <t>melissa_i_laureano@mcpsmd.org</t>
  </si>
  <si>
    <t>Newport Mill MS</t>
  </si>
  <si>
    <t>Lawrence, Ms. Krystal</t>
  </si>
  <si>
    <t>Romero, Ms. Maria</t>
  </si>
  <si>
    <t>maria_g_romero@mcpsmd.org</t>
  </si>
  <si>
    <t>North Bethesda MS</t>
  </si>
  <si>
    <t>North Chevy Chase ES</t>
  </si>
  <si>
    <t>Jacobus, Mrs. Allison G.</t>
  </si>
  <si>
    <t>Northwest HS</t>
  </si>
  <si>
    <t>Barron-Moffa, Mrs. Alissa</t>
  </si>
  <si>
    <t>Northwood HS</t>
  </si>
  <si>
    <t>Jones, Dr. Trellis N.</t>
  </si>
  <si>
    <t xml:space="preserve">Almeida, Mrs. Anabela </t>
  </si>
  <si>
    <t>anabela_m_almeida@mcpsmd.org</t>
  </si>
  <si>
    <t>Velazquez, Elsie V</t>
  </si>
  <si>
    <t>Ayana Manzanares</t>
  </si>
  <si>
    <t>Oak View ES</t>
  </si>
  <si>
    <t>Oakland Terrace ES</t>
  </si>
  <si>
    <t>Odessa Shannon MS (formerly Col. E. B. Lee)</t>
  </si>
  <si>
    <t>Rivas-Perez, Mr. Marvin</t>
  </si>
  <si>
    <t>Olney ES</t>
  </si>
  <si>
    <t>Page ES</t>
  </si>
  <si>
    <t>Hart, Ms. Robyn</t>
  </si>
  <si>
    <t>Robyn_H_Hart@mcpsmd.org</t>
  </si>
  <si>
    <t>Paint Branch HS</t>
  </si>
  <si>
    <t>Parkland MS</t>
  </si>
  <si>
    <t>Keene King, Ms. Monique</t>
  </si>
  <si>
    <t>Hill, Ms. Tamar</t>
  </si>
  <si>
    <t>Parks, Rosa M. MS</t>
  </si>
  <si>
    <t>Baglin, Ms. Nancy J.</t>
  </si>
  <si>
    <t>Pine Crest ES</t>
  </si>
  <si>
    <t>Piney Branch ES</t>
  </si>
  <si>
    <t>Quinn, Ms. Maia</t>
  </si>
  <si>
    <t>Poole, John MS</t>
  </si>
  <si>
    <t>Parrau, Mrs. Sandra S.</t>
  </si>
  <si>
    <t>Poolesville ES</t>
  </si>
  <si>
    <t>Poolesville HS</t>
  </si>
  <si>
    <t>Tegan Peterson</t>
  </si>
  <si>
    <t>Potomac ES</t>
  </si>
  <si>
    <t>Pyle, Thomas W. MS</t>
  </si>
  <si>
    <t>Tucker, Ms. Callie</t>
  </si>
  <si>
    <t>Quince Orchard HS</t>
  </si>
  <si>
    <t>Ruiz-Miller, Ms. Sally</t>
  </si>
  <si>
    <t>sally_p_ruiz@mcpsmd.org</t>
  </si>
  <si>
    <t>Alvarenga, Daniel</t>
  </si>
  <si>
    <t>Mayra Fernandez</t>
  </si>
  <si>
    <t>Redland MS</t>
  </si>
  <si>
    <t>Cangelosi, Mrs. Clarissa L.</t>
  </si>
  <si>
    <t>DeCruise-Brown, Ms. Colleen</t>
  </si>
  <si>
    <t>colleen_m_decruise-brown@mcpsmd.org</t>
  </si>
  <si>
    <t>Resnik, Judith A. ES</t>
  </si>
  <si>
    <t>RICA</t>
  </si>
  <si>
    <t>Ride, Dr. Sally K. ES</t>
  </si>
  <si>
    <t>Decruise-Brown, Ms. Colleen</t>
  </si>
  <si>
    <t>Ridgeview MS</t>
  </si>
  <si>
    <t>Nasios, Ms. Maria</t>
  </si>
  <si>
    <t>Valencia, Ms. Monica</t>
  </si>
  <si>
    <t>Ritchie Park ES</t>
  </si>
  <si>
    <t>Rock Creek Forest ES</t>
  </si>
  <si>
    <t>Cherrick, Mrs. Liliane</t>
  </si>
  <si>
    <t>liliane_cherrick@mcpsmd.org</t>
  </si>
  <si>
    <t>Rock Creek Valley ES</t>
  </si>
  <si>
    <t>Valenzia, Ms. Virginia A.</t>
  </si>
  <si>
    <t>Rock Terrace</t>
  </si>
  <si>
    <t>Rock View ES</t>
  </si>
  <si>
    <t>Rockville HS</t>
  </si>
  <si>
    <t>Garduno Villa, Mr. Eduardo</t>
  </si>
  <si>
    <t>Rockwell, Lois P. ES</t>
  </si>
  <si>
    <t>Rocky Hill MS</t>
  </si>
  <si>
    <t>Rolling Terrace ES</t>
  </si>
  <si>
    <t>Gudnitz, Ms. Denine</t>
  </si>
  <si>
    <t>Denine_M_Gudnitz@mcpsmd.org</t>
  </si>
  <si>
    <t>Montecinos, Ms. Evelyn</t>
  </si>
  <si>
    <t>Roscoe Nix ES</t>
  </si>
  <si>
    <t>Rosemary Hills ES</t>
  </si>
  <si>
    <t>Rosemont ES</t>
  </si>
  <si>
    <t>Burke, Ms. Arelis</t>
  </si>
  <si>
    <t>Seneca Valley HS + TTI/CCC upcounty</t>
  </si>
  <si>
    <t>Teixeira, Tatiana</t>
  </si>
  <si>
    <t>Sequoyah ES</t>
  </si>
  <si>
    <t>Seven Locks ES</t>
  </si>
  <si>
    <t>Shady Grove MS</t>
  </si>
  <si>
    <t>Larach, Ms. Helaine</t>
  </si>
  <si>
    <t>Sherwood ES</t>
  </si>
  <si>
    <t>Sherwood HS</t>
  </si>
  <si>
    <t>Mark Macauley</t>
  </si>
  <si>
    <t>Shriver, Sargent ES</t>
  </si>
  <si>
    <t>Kassaye, Mr. Abebe</t>
  </si>
  <si>
    <t>abebe_g_kassaye@mcpsmd.org</t>
  </si>
  <si>
    <t>Vergara, Ms. Ashley</t>
  </si>
  <si>
    <t>Silver Creek MS</t>
  </si>
  <si>
    <t>Silver Spring International MS</t>
  </si>
  <si>
    <t>Kuhn, Ms. Harriet</t>
  </si>
  <si>
    <t>Singer, Flora M. ES</t>
  </si>
  <si>
    <t>Sligo Creek ES</t>
  </si>
  <si>
    <t>Sligo MS</t>
  </si>
  <si>
    <t>Snowden Farm ES + SESS</t>
  </si>
  <si>
    <t>Somerset ES</t>
  </si>
  <si>
    <t>South Lake ES</t>
  </si>
  <si>
    <t>Lee, Ms. Jeannie</t>
  </si>
  <si>
    <t>Herrara-Jurado, Ms. Dary</t>
  </si>
  <si>
    <t>Springbrook HS</t>
  </si>
  <si>
    <t>Smith, Dr. Tamie L.</t>
  </si>
  <si>
    <t>Molina, Myrta I</t>
  </si>
  <si>
    <t>Lolita Adjei</t>
  </si>
  <si>
    <t>Stedwick ES</t>
  </si>
  <si>
    <t>sandra_woods@mcpsmd.org</t>
  </si>
  <si>
    <t>Stephen Knolls School</t>
  </si>
  <si>
    <t>Stone Mill ES</t>
  </si>
  <si>
    <t>Stonegate ES</t>
  </si>
  <si>
    <t>D'Eugenio Pinel, Ms. Zoe</t>
  </si>
  <si>
    <t>Clark, Mrs. Lisa</t>
  </si>
  <si>
    <t>Strathmore ES</t>
  </si>
  <si>
    <t>Strawberry Knoll ES</t>
  </si>
  <si>
    <t>De La Cruz, Ms. Maribel</t>
  </si>
  <si>
    <t>maribel_delacruz@mcpsmd.org</t>
  </si>
  <si>
    <t>Summit Hall ES</t>
  </si>
  <si>
    <t>Takoma Park ES</t>
  </si>
  <si>
    <t>Takoma Park MS</t>
  </si>
  <si>
    <t>Thomas Edison Technology HS</t>
  </si>
  <si>
    <t>pablo_i_molinachemali@mcpsmd.org</t>
  </si>
  <si>
    <t>Santiago-Espada, Guillermo</t>
  </si>
  <si>
    <t>El-Kahina Hunt</t>
  </si>
  <si>
    <t>Tilden MS</t>
  </si>
  <si>
    <t>Travilah ES</t>
  </si>
  <si>
    <t>Hyman, Mr. Michael H.</t>
  </si>
  <si>
    <t>Tubman, Harriet</t>
  </si>
  <si>
    <t xml:space="preserve">Miguel, Ms. Elizabeth </t>
  </si>
  <si>
    <t>Twinbrook ES</t>
  </si>
  <si>
    <t>Viers Mill ES</t>
  </si>
  <si>
    <t>Reger, Miss Kathryn A.</t>
  </si>
  <si>
    <t>Washington Grove ES</t>
  </si>
  <si>
    <t>Burrows, Ms. Jennifer E.</t>
  </si>
  <si>
    <t>Waters Landing ES</t>
  </si>
  <si>
    <t>Watkins Mill ES</t>
  </si>
  <si>
    <t>Watkins Mill HS</t>
  </si>
  <si>
    <t>Martell, Mrs. Kristina</t>
  </si>
  <si>
    <t>McCarron, Ms. Jennifer</t>
  </si>
  <si>
    <t>Jennifer_McCarron@mcpsmd.org</t>
  </si>
  <si>
    <t>Fetzer-Munoz, Lulu</t>
  </si>
  <si>
    <t>Danielle Johnson</t>
  </si>
  <si>
    <t>Wayside ES</t>
  </si>
  <si>
    <t>Weller Road ES</t>
  </si>
  <si>
    <t>Wells, Hallie MS</t>
  </si>
  <si>
    <t>West, Julius MS + SESES</t>
  </si>
  <si>
    <t>Westbrook ES</t>
  </si>
  <si>
    <t>Westland MS</t>
  </si>
  <si>
    <t>Boswell, Dr. Ashley</t>
  </si>
  <si>
    <t>Westover ES</t>
  </si>
  <si>
    <t>Wheaton HS</t>
  </si>
  <si>
    <t>Danclar, Ms. Kirlann</t>
  </si>
  <si>
    <t>Romero, Mrs. Sylvia</t>
  </si>
  <si>
    <t>sylvia_j_romero@mcpsmd.org</t>
  </si>
  <si>
    <t>Medina, Xiomara</t>
  </si>
  <si>
    <t>Maria Cassi</t>
  </si>
  <si>
    <t>Wheaton Woods ES</t>
  </si>
  <si>
    <t>Whetstone ES</t>
  </si>
  <si>
    <t>Nava, Ms. Ana</t>
  </si>
  <si>
    <t>White Oak MS</t>
  </si>
  <si>
    <t>Gebrehiwot, Ms. Abeba "Abba"</t>
  </si>
  <si>
    <t>abeba_gebrehiwot@mcpsmd.org</t>
  </si>
  <si>
    <t>Whitman, Walt HS</t>
  </si>
  <si>
    <t>Clow, Ms. Marianela</t>
  </si>
  <si>
    <t>Julian Smith</t>
  </si>
  <si>
    <t>Wims, Wilson ES</t>
  </si>
  <si>
    <t>Hammond, Mrs. Laura</t>
  </si>
  <si>
    <t>Kiang-Spray, Ms. Wendy</t>
  </si>
  <si>
    <t>Wood Acres ES</t>
  </si>
  <si>
    <t>Wood, Earle B. MS</t>
  </si>
  <si>
    <t>Woodfield ES</t>
  </si>
  <si>
    <t>Woodlin ES</t>
  </si>
  <si>
    <t>Ferman, Ms. Marta</t>
  </si>
  <si>
    <t>Wootton, Thomas S. HS</t>
  </si>
  <si>
    <t>Alexis Branham</t>
  </si>
  <si>
    <t>Wyngate ES</t>
  </si>
  <si>
    <t>FY23 School Psychologist</t>
  </si>
  <si>
    <t>FY23 Parent Community Coordinators (PCCs)</t>
  </si>
  <si>
    <t>FY23 Pupil Personnel Workers (PPWs)</t>
  </si>
  <si>
    <t>FY23 Emergent Multilingual Learners
(EML) Therapeutic Counselor (ETCs)</t>
  </si>
  <si>
    <t>FY23 School Based ESOL Counselors (SBECs)</t>
  </si>
  <si>
    <t>FY23 RJ Instructional Specialist</t>
  </si>
  <si>
    <t>FY23 Social Workers</t>
  </si>
  <si>
    <t>Resource Counselors</t>
  </si>
  <si>
    <t>Lilja, Matthew J</t>
  </si>
  <si>
    <t>Vekaria, Ms. Hiral</t>
  </si>
  <si>
    <t>Buffum, Lindsey C</t>
  </si>
  <si>
    <t>Taryn E Richards</t>
  </si>
  <si>
    <t>Garzon, Mrs. Melinda</t>
  </si>
  <si>
    <t>Travers, Ms. Melanie</t>
  </si>
  <si>
    <t>Melanie_M_Travers@mcpsmd.org</t>
  </si>
  <si>
    <t>Hearn, Ms. Amanda</t>
  </si>
  <si>
    <t>Reveron, Jeannette</t>
  </si>
  <si>
    <t>Steinberg, Ms. Samantha</t>
  </si>
  <si>
    <t>Samantha_H_Steinberg@mcpsmd.org</t>
  </si>
  <si>
    <t>Soriano, Makeyda A</t>
  </si>
  <si>
    <t>Tolbert, Kim D</t>
  </si>
  <si>
    <t>Caprara, Ms. Ciara</t>
  </si>
  <si>
    <t>Liebling, Dr. Laura E.</t>
  </si>
  <si>
    <t>Hainer, Ms. Hollys</t>
  </si>
  <si>
    <t>Kane, Ms. Erin F.</t>
  </si>
  <si>
    <t>Partis, Mrs. Rachel</t>
  </si>
  <si>
    <t>Vacancy</t>
  </si>
  <si>
    <t>Jennifer Poole</t>
  </si>
  <si>
    <t>caroline_j_chance@mcpsmd.org</t>
  </si>
  <si>
    <t>Leigh Kleinson</t>
  </si>
  <si>
    <t>Lakisha Shears</t>
  </si>
  <si>
    <t>Garris, Andrea R</t>
  </si>
  <si>
    <t>Walter, Nicki</t>
  </si>
  <si>
    <t>Baldwin, Dr. C. Yvette</t>
  </si>
  <si>
    <t>McDonnell-McKenna, Ms. Brenda</t>
  </si>
  <si>
    <t>Court Liaison Specials</t>
  </si>
  <si>
    <t>Oswald, Kerry C</t>
  </si>
  <si>
    <t>Callan, Ms. Allison</t>
  </si>
  <si>
    <t>Stout-Powers, Ms. Sarah</t>
  </si>
  <si>
    <t>Fenner, Ms. Julia</t>
  </si>
  <si>
    <t>Molina, Mr. Pablo</t>
  </si>
  <si>
    <t>Lester, Dr. Pamela/ Dorsey, Mrs. Niccole (1 day a week)</t>
  </si>
  <si>
    <t>Fletcher, Anne H</t>
  </si>
  <si>
    <t>Darlene Jackson</t>
  </si>
  <si>
    <t>Erin Boss</t>
  </si>
  <si>
    <t>McCormack, Mrs. Jeanne</t>
  </si>
  <si>
    <t>Eisenberg, Janice L</t>
  </si>
  <si>
    <t>Susan James</t>
  </si>
  <si>
    <t>James, Susan C</t>
  </si>
  <si>
    <t>Woldman, Mr. Bruce</t>
  </si>
  <si>
    <t>Bruce_G_Woldman@mcpsmd.org</t>
  </si>
  <si>
    <t>Mitchell, Denise L</t>
  </si>
  <si>
    <t>Williams, Ms. Martha</t>
  </si>
  <si>
    <t>Reed, Edward A</t>
  </si>
  <si>
    <t>Jarquin, Nikki D</t>
  </si>
  <si>
    <t>Yarborough, Ms. Norca</t>
  </si>
  <si>
    <t>Ikpemgbe, Susie I</t>
  </si>
  <si>
    <t>Cunningham, Mrs. Cheryl E.</t>
  </si>
  <si>
    <t>Kwong, Ms. Vickie</t>
  </si>
  <si>
    <t>Reddington, Catherine M Velasquez, Debra M</t>
  </si>
  <si>
    <t>Richardson, Ms. Jataya</t>
  </si>
  <si>
    <t>Mejia, Ms. Wendy</t>
  </si>
  <si>
    <t>Ladson, Imani J</t>
  </si>
  <si>
    <t>Gamble, Donniel K</t>
  </si>
  <si>
    <t>Ishmail, Mr. Kareem</t>
  </si>
  <si>
    <t>McCoy-Snead, Starr J</t>
  </si>
  <si>
    <t>Manley, Mrs. Marr-ion</t>
  </si>
  <si>
    <t>Marr-ion_N_Brown@mcpsmd.org</t>
  </si>
  <si>
    <t>Ingram, Jason R</t>
  </si>
  <si>
    <t>Cohen, Heather M</t>
  </si>
  <si>
    <t>Freeman, Courtney A</t>
  </si>
  <si>
    <t>Bechara, Reem J</t>
  </si>
  <si>
    <t>Vaglica, Tara K</t>
  </si>
  <si>
    <t>Lester, Mrs. Dawn</t>
  </si>
  <si>
    <t>Wilson, Margaret E</t>
  </si>
  <si>
    <t>Phillips, Antoinette J</t>
  </si>
  <si>
    <t>Greene, Robin M</t>
  </si>
  <si>
    <t>Scott, Victoria M</t>
  </si>
  <si>
    <t>Sadara, Jennifer D</t>
  </si>
  <si>
    <t>Latashia Morton-Warren</t>
  </si>
  <si>
    <t>Edmunds, Jovan M</t>
  </si>
  <si>
    <t>Ponce, Maureen Q</t>
  </si>
  <si>
    <t>Arooj, Mrs. Ferwaha</t>
  </si>
  <si>
    <t>Fischer, Elizabeth A</t>
  </si>
  <si>
    <t>Jackson, Darlene K</t>
  </si>
  <si>
    <t>Montgomery, Amber M</t>
  </si>
  <si>
    <t>Watts, Sara E</t>
  </si>
  <si>
    <t>Maruskin, Kevin T</t>
  </si>
  <si>
    <t>Martin, Barbara J</t>
  </si>
  <si>
    <t>Huck, Erika A</t>
  </si>
  <si>
    <t>Rivera, Douglas A</t>
  </si>
  <si>
    <t>Megary, Jay</t>
  </si>
  <si>
    <t>Thorsen-Faucett, Gail M</t>
  </si>
  <si>
    <t>Arce, Lauren A</t>
  </si>
  <si>
    <t>Reimer, Dr. Kenneth</t>
  </si>
  <si>
    <t>Dana Leacock</t>
  </si>
  <si>
    <t>Crawley, Alejandra E</t>
  </si>
  <si>
    <t>Gupta, Isha S</t>
  </si>
  <si>
    <t>Pendnig</t>
  </si>
  <si>
    <t>Yarmus, Ian J</t>
  </si>
  <si>
    <t>Ortiz, Alexandra E</t>
  </si>
  <si>
    <t>Giffen, Elizabeth K</t>
  </si>
  <si>
    <t>Levine, Susan A</t>
  </si>
  <si>
    <t>Solomon, Richard B</t>
  </si>
  <si>
    <t>Bader, Leocadie</t>
  </si>
  <si>
    <t>Lester, Dr. Pamela</t>
  </si>
  <si>
    <t>Hood, Christopher W</t>
  </si>
  <si>
    <t>Lisa Macharrie</t>
  </si>
  <si>
    <t>Mackel, Brittany E</t>
  </si>
  <si>
    <t>Litten, Megan J</t>
  </si>
  <si>
    <t>Awkard, George W</t>
  </si>
  <si>
    <t>Alessi, James N</t>
  </si>
  <si>
    <t>Tubman, Harriet (NEW - GaithersburgES #8)</t>
  </si>
  <si>
    <t>Reger, Ms. Kathryn A.</t>
  </si>
  <si>
    <t>Martell, Ms. Kristina</t>
  </si>
  <si>
    <t>Valverde, Francisco J</t>
  </si>
  <si>
    <t>Catherine Reddington</t>
  </si>
  <si>
    <t>West, Julius MS + ED Unit</t>
  </si>
  <si>
    <t>Anderson, Ms. Alondra/ Larach, Ms. Helaine (2 days a week)</t>
  </si>
  <si>
    <t>Lyhus, Janet L</t>
  </si>
  <si>
    <t>Fischer, Caryn</t>
  </si>
  <si>
    <t>Powell, Stephanie R</t>
  </si>
  <si>
    <t>Yang, Yun Lung</t>
  </si>
  <si>
    <t>Toth, William G</t>
  </si>
  <si>
    <t>Tegeler, April L</t>
  </si>
  <si>
    <t>Markiewicz, Arielle</t>
  </si>
  <si>
    <t xml:space="preserve"> </t>
  </si>
  <si>
    <t>Margarita Bohórquez</t>
  </si>
  <si>
    <t>Margarita Bohorquez</t>
  </si>
  <si>
    <t>Martha Kottapalli</t>
  </si>
  <si>
    <t>Stephanie Wallace</t>
  </si>
  <si>
    <t>Schoenthal, Mrs. Leticia</t>
  </si>
  <si>
    <t>New Hire</t>
  </si>
  <si>
    <t>Washington, Ms. Ramona</t>
  </si>
  <si>
    <t>Dixon, Dr. Rona A.</t>
  </si>
  <si>
    <t>Metellus, Ms. Renee</t>
  </si>
  <si>
    <t>Dixon, Dr. Rona</t>
  </si>
  <si>
    <t>Schoenthal, Ms. Leticia</t>
  </si>
  <si>
    <t>MacVean, Ms. Heather</t>
  </si>
  <si>
    <t>School Name</t>
  </si>
  <si>
    <t>Address</t>
  </si>
  <si>
    <t>CityStateZip</t>
  </si>
  <si>
    <t>Sis School Code</t>
  </si>
  <si>
    <t>Principal Staff GU</t>
  </si>
  <si>
    <t>E-Mail</t>
  </si>
  <si>
    <t>Staff Name</t>
  </si>
  <si>
    <t>G Suite Email</t>
  </si>
  <si>
    <t>Job Title</t>
  </si>
  <si>
    <t>Abbreviated Name</t>
  </si>
  <si>
    <t>Last Name</t>
  </si>
  <si>
    <t>A. Mario Loiederman Middle</t>
  </si>
  <si>
    <t>12701 Goodhill Rd</t>
  </si>
  <si>
    <t>Silver Spring, MD 20906-4001</t>
  </si>
  <si>
    <t>2EDA198F-E5FA-417F-97E2-EBF6E2763500</t>
  </si>
  <si>
    <t>Megan_M_McLaughlin@mcpsmd.org</t>
  </si>
  <si>
    <t>McLaughlin, Megan M.</t>
  </si>
  <si>
    <t>megan.m.mclaughlin@mcpsmd.net</t>
  </si>
  <si>
    <t>Principal Middle</t>
  </si>
  <si>
    <t>Ms  Megan McLau</t>
  </si>
  <si>
    <t>McLaughlin</t>
  </si>
  <si>
    <t>Albert Einstein High</t>
  </si>
  <si>
    <t>11135 Newport Mill Rd</t>
  </si>
  <si>
    <t>Kensington, MD 20895-1648</t>
  </si>
  <si>
    <t>AF82BC31-B4CA-4D68-8737-FE283849B609</t>
  </si>
  <si>
    <t>Mark_Brown@mcpsmd.org</t>
  </si>
  <si>
    <t>Brown, Mark</t>
  </si>
  <si>
    <t>mark.brown@mcpsmd.net</t>
  </si>
  <si>
    <t>Principal High</t>
  </si>
  <si>
    <t>Mr  Mark Brown</t>
  </si>
  <si>
    <t>Brown</t>
  </si>
  <si>
    <t>Alternative Programs</t>
  </si>
  <si>
    <t>14501 Avery Rd</t>
  </si>
  <si>
    <t>Rockville, MD 20853-3601</t>
  </si>
  <si>
    <t>812396D2-68F1-4E65-928B-B9A527860BB7</t>
  </si>
  <si>
    <t>Damien_B_Ingram@mcpsmd.org</t>
  </si>
  <si>
    <t>Ingram, Damien B.</t>
  </si>
  <si>
    <t>damien.b.ingram@mcpsmd.net</t>
  </si>
  <si>
    <t>Principal, Alternative Schl</t>
  </si>
  <si>
    <t>Mr  Damien Ingr</t>
  </si>
  <si>
    <t>Ingram</t>
  </si>
  <si>
    <t>Arcola Elementary</t>
  </si>
  <si>
    <t>1820 Franwall Ave</t>
  </si>
  <si>
    <t>Silver Spring, MD 20902-2941</t>
  </si>
  <si>
    <t>C3949BC8-B54E-49CC-AC75-71DC4300B96B</t>
  </si>
  <si>
    <t>Emmanuel_J_JeanPhilippe1@mcpsmd.org</t>
  </si>
  <si>
    <t>Jean-Philippe, Emmanuel J.</t>
  </si>
  <si>
    <t>emmanuel.j.jeanphilippe1@mcpsmd.net</t>
  </si>
  <si>
    <t>Principal Elementary</t>
  </si>
  <si>
    <t>Mr  Emmanuel Je</t>
  </si>
  <si>
    <t>Jean-Philippe</t>
  </si>
  <si>
    <t>Argyle Middle</t>
  </si>
  <si>
    <t>2400 Bel Pre Rd</t>
  </si>
  <si>
    <t>Silver Spring, MD 20906-2308</t>
  </si>
  <si>
    <t>ADB6EF45-D43B-44DB-A8AC-514C4720751F</t>
  </si>
  <si>
    <t>James_K_Allrich@mcpsmd.org</t>
  </si>
  <si>
    <t>Allrich, James K.</t>
  </si>
  <si>
    <t>james.k.allrich@mcpsmd.net</t>
  </si>
  <si>
    <t>Mr  James Allri</t>
  </si>
  <si>
    <t>Allrich</t>
  </si>
  <si>
    <t>Ashburton Elementary</t>
  </si>
  <si>
    <t>6314 Lone Oak Dr</t>
  </si>
  <si>
    <t>Bethesda, MD 20817-1746</t>
  </si>
  <si>
    <t>5D4A9720-BB65-4957-BF93-BF8F357F2D82</t>
  </si>
  <si>
    <t>Monique_Reese@mcpsmd.org</t>
  </si>
  <si>
    <t>Reese, Monique</t>
  </si>
  <si>
    <t>monique.reese@mcpsmd.net</t>
  </si>
  <si>
    <t>Reese</t>
  </si>
  <si>
    <t>Bannockburn Elementary</t>
  </si>
  <si>
    <t>6520 Dalroy Ln</t>
  </si>
  <si>
    <t>Bethesda, MD 20817-5410</t>
  </si>
  <si>
    <t>A106EBCE-E357-4089-92CE-E2F9BEDF0B67</t>
  </si>
  <si>
    <t>Kathryn_D_Bradley@mcpsmd.org</t>
  </si>
  <si>
    <t>Bradley, Kathryn D.</t>
  </si>
  <si>
    <t>kathryn.d.bradley@mcpsmd.net</t>
  </si>
  <si>
    <t>Mrs Kathryn Bra</t>
  </si>
  <si>
    <t>Bradley</t>
  </si>
  <si>
    <t>Bayard Rustin Elementary</t>
  </si>
  <si>
    <t>332 W Edmonston Ave</t>
  </si>
  <si>
    <t>Rockville, MD 20852</t>
  </si>
  <si>
    <t>69544A2E-3B39-4BE5-B19B-1E64D5ECABD4</t>
  </si>
  <si>
    <t>Kathryn_C_West@mcpsmd.org</t>
  </si>
  <si>
    <t>West, Kathryn C.</t>
  </si>
  <si>
    <t>kathryn.c.west@mcpsmd.net</t>
  </si>
  <si>
    <t>Mrs Kathryn Wes</t>
  </si>
  <si>
    <t>West</t>
  </si>
  <si>
    <t>Beall Elementary</t>
  </si>
  <si>
    <t>451 Beall Ave</t>
  </si>
  <si>
    <t>Rockville, MD 20850-1844</t>
  </si>
  <si>
    <t>87D33019-502C-4C17-868C-B4E0EA30F4E3</t>
  </si>
  <si>
    <t>Elliot_Alter@mcpsmd.org</t>
  </si>
  <si>
    <t>Alter, Elliot M.</t>
  </si>
  <si>
    <t>elliot.alter@mcpsmd.net</t>
  </si>
  <si>
    <t>Mr  Elliot Alte</t>
  </si>
  <si>
    <t>Alter</t>
  </si>
  <si>
    <t>Bel Pre Elementary</t>
  </si>
  <si>
    <t>13801 Rippling Brook Dr</t>
  </si>
  <si>
    <t>Silver Spring, MD 20906</t>
  </si>
  <si>
    <t>B77A2435-74E7-4AC2-9218-3FB5EC01BD03</t>
  </si>
  <si>
    <t>Dara_Brooks@mcpsmd.org</t>
  </si>
  <si>
    <t>Brooks, Dara</t>
  </si>
  <si>
    <t>dara.brooks@mcpsmd.net</t>
  </si>
  <si>
    <t>Ms  Dara Brooks</t>
  </si>
  <si>
    <t>Brooks</t>
  </si>
  <si>
    <t>Bells Mill Elementary</t>
  </si>
  <si>
    <t>8225 Bells Mill Rd</t>
  </si>
  <si>
    <t>Potomac, MD 20854-4066</t>
  </si>
  <si>
    <t>69D77A0A-DAD7-4EEF-99EF-BC6138761BA7</t>
  </si>
  <si>
    <t>Stacy_L_Smith@mcpsmd.org</t>
  </si>
  <si>
    <t>Smith, Stacy L.</t>
  </si>
  <si>
    <t>stacy.l.smith@mcpsmd.net</t>
  </si>
  <si>
    <t>Smith</t>
  </si>
  <si>
    <t>Belmont Elementary</t>
  </si>
  <si>
    <t>19528 Olney Mill Rd</t>
  </si>
  <si>
    <t>Olney, MD 20832-1111</t>
  </si>
  <si>
    <t>E9A08975-527B-4D54-9E3B-D35D674A6CCA</t>
  </si>
  <si>
    <t>Evan_J_Pinkowitz@mcpsmd.org</t>
  </si>
  <si>
    <t>Pinkowitz, Evan J.</t>
  </si>
  <si>
    <t>evan.j.pinkowitz@mcpsmd.net</t>
  </si>
  <si>
    <t>Mr  Evan Pinkow</t>
  </si>
  <si>
    <t>Pinkowitz</t>
  </si>
  <si>
    <t>Benjamin Banneker Middle</t>
  </si>
  <si>
    <t>14800 Perrywood Dr</t>
  </si>
  <si>
    <t>Burtonsville, MD 20866-1828</t>
  </si>
  <si>
    <t>D0AD9363-8D46-41E2-90C4-BEB621593294</t>
  </si>
  <si>
    <t>Michelle_L_Fortune@mcpsmd.org</t>
  </si>
  <si>
    <t>Fortune, Michelle L.</t>
  </si>
  <si>
    <t>michelle.l.fortune@mcpsmd.net</t>
  </si>
  <si>
    <t>Mrs Michelle Fo</t>
  </si>
  <si>
    <t>Fortune</t>
  </si>
  <si>
    <t>Bethesda Elementary</t>
  </si>
  <si>
    <t>7600 Arlington Rd</t>
  </si>
  <si>
    <t>Bethesda, MD 20814-6200</t>
  </si>
  <si>
    <t>8B238368-118B-4C4A-8A8A-5B0167252C61</t>
  </si>
  <si>
    <t>Lisa_Seymour@mcpsmd.org</t>
  </si>
  <si>
    <t>Seymour, Lisa S.</t>
  </si>
  <si>
    <t>lisa.seymour@mcpsmd.net</t>
  </si>
  <si>
    <t>Ms  Lisa Seymou</t>
  </si>
  <si>
    <t>Seymour</t>
  </si>
  <si>
    <t>Bethesda-Chevy Chase High</t>
  </si>
  <si>
    <t>4301 East-West Hwy</t>
  </si>
  <si>
    <t>Bethesda, MD 20814-4420</t>
  </si>
  <si>
    <t>FC4E126C-8FF5-477F-86A9-248990308FB6</t>
  </si>
  <si>
    <t>Shelton_Mooney@mcpsmd.org</t>
  </si>
  <si>
    <t>Mooney, Shelton L. Jr</t>
  </si>
  <si>
    <t>shelton.mooney@mcpsmd.net</t>
  </si>
  <si>
    <t>Dr  Shelton Moo</t>
  </si>
  <si>
    <t>Mooney</t>
  </si>
  <si>
    <t>Beverly Farms Elementary</t>
  </si>
  <si>
    <t>8501 Postoak Rd</t>
  </si>
  <si>
    <t>Potomac, MD 20854-3548</t>
  </si>
  <si>
    <t>E7B44770-508D-4271-8FF1-7891566C22AB</t>
  </si>
  <si>
    <t>Laura_M_Swerdzewski@mcpsmd.org</t>
  </si>
  <si>
    <t>Swerdzewski, Laura M.</t>
  </si>
  <si>
    <t>laura.m.swerdzewski@mcpsmd.net</t>
  </si>
  <si>
    <t>Ms  Laura Swerd</t>
  </si>
  <si>
    <t>Swerdzewski</t>
  </si>
  <si>
    <t>Bradley Hills Elementary</t>
  </si>
  <si>
    <t>8701 Hartsdale Ave</t>
  </si>
  <si>
    <t>Bethesda, MD 20817-3601</t>
  </si>
  <si>
    <t>DEEB0B56-2A6B-4306-AF38-C3AB6C75929E</t>
  </si>
  <si>
    <t>Karen_E_Caroscio@mcpsmd.org</t>
  </si>
  <si>
    <t>Caroscio, Karen E.</t>
  </si>
  <si>
    <t>karen.e.caroscio@mcpsmd.net</t>
  </si>
  <si>
    <t>Mrs Karen Caros</t>
  </si>
  <si>
    <t>Caroscio</t>
  </si>
  <si>
    <t>Briggs Chaney Middle</t>
  </si>
  <si>
    <t>1901 Rainbow Dr</t>
  </si>
  <si>
    <t>Silver Spring, MD 20905-4242</t>
  </si>
  <si>
    <t>8BC4275C-DCA3-4457-BB15-E656CF3AC2A7</t>
  </si>
  <si>
    <t>Shawaan_T_Robinson@mcpsmd.org</t>
  </si>
  <si>
    <t>Robinson, Shawaan T.</t>
  </si>
  <si>
    <t>shawaan.t.robinson@mcpsmd.net</t>
  </si>
  <si>
    <t>Ms  Shawaan Rob</t>
  </si>
  <si>
    <t>Robinson</t>
  </si>
  <si>
    <t>Brooke Grove Elementary</t>
  </si>
  <si>
    <t>2700 Spartan Rd</t>
  </si>
  <si>
    <t>Olney, MD 20832-1500</t>
  </si>
  <si>
    <t>9C6C923F-9FB2-4C83-931E-B340C80E4B9C</t>
  </si>
  <si>
    <t>Jolynn_E_Tarwater@mcpsmd.org</t>
  </si>
  <si>
    <t>Tarwater, Jolynn E.</t>
  </si>
  <si>
    <t>jolynn.e.tarwater@mcpsmd.net</t>
  </si>
  <si>
    <t>Mrs Jolynn Tarw</t>
  </si>
  <si>
    <t>Tarwater</t>
  </si>
  <si>
    <t>Brookhaven Elementary</t>
  </si>
  <si>
    <t>4610 Renn St</t>
  </si>
  <si>
    <t>Rockville, MD 20853-2707</t>
  </si>
  <si>
    <t>A8D1885C-FB38-4C9B-A8B0-885B23D67EFC</t>
  </si>
  <si>
    <t>Xavier_Kimber@mcpsmd.org</t>
  </si>
  <si>
    <t>Kimber, Xavier</t>
  </si>
  <si>
    <t>xavier.kimber@mcpsmd.net</t>
  </si>
  <si>
    <t>Mr  Xavier Kimb</t>
  </si>
  <si>
    <t>Kimber</t>
  </si>
  <si>
    <t>Brown Station Elementary</t>
  </si>
  <si>
    <t>851 Quince Orchard Blvd</t>
  </si>
  <si>
    <t>Gaithersburg, MD 20878</t>
  </si>
  <si>
    <t>D3F24F7D-0B82-4F4A-B7A9-2E695BF8EF7C</t>
  </si>
  <si>
    <t>MaryJo_Powell@mcpsmd.org</t>
  </si>
  <si>
    <t>Powell, Mary Jo</t>
  </si>
  <si>
    <t>maryjo.powell@mcpsmd.net</t>
  </si>
  <si>
    <t>Mrs Mary Jo Pow</t>
  </si>
  <si>
    <t>Powell</t>
  </si>
  <si>
    <t>Burning Tree Elementary</t>
  </si>
  <si>
    <t>7900 Beech Tree Rd</t>
  </si>
  <si>
    <t>Bethesda, MD 20817-2927</t>
  </si>
  <si>
    <t>AB8A80C1-B551-4426-9FB4-45EEBDF94FF9</t>
  </si>
  <si>
    <t>Jennifer_Redden@mcpsmd.org</t>
  </si>
  <si>
    <t>Redden, Jennifer</t>
  </si>
  <si>
    <t>jennifer.redden@mcpsmd.net</t>
  </si>
  <si>
    <t>Ms  Jennifer Re</t>
  </si>
  <si>
    <t>Redden</t>
  </si>
  <si>
    <t>Burnt Mills Elementary</t>
  </si>
  <si>
    <t>11211 Childs St</t>
  </si>
  <si>
    <t>Silver Spring, MD 20901-4432</t>
  </si>
  <si>
    <t>47F246F9-8026-4ADD-9354-2C5AA1727585</t>
  </si>
  <si>
    <t>Stacy_A_Ashton@mcpsmd.org</t>
  </si>
  <si>
    <t>Ashton, Stacy A.</t>
  </si>
  <si>
    <t>stacy.a.ashton@mcpsmd.net</t>
  </si>
  <si>
    <t>Dr  Stacy Ashto</t>
  </si>
  <si>
    <t>Ashton</t>
  </si>
  <si>
    <t>Burtonsville Elementary</t>
  </si>
  <si>
    <t>15516 Old Columbia Pike</t>
  </si>
  <si>
    <t>Burtonsville, MD 20866-1634</t>
  </si>
  <si>
    <t>0A4D442B-0D73-480F-94D6-8F3414BD71A7</t>
  </si>
  <si>
    <t>Kimberly_L_Lloyd@mcpsmd.org</t>
  </si>
  <si>
    <t>Lloyd, Kimberly L.</t>
  </si>
  <si>
    <t>kimberly.l.lloyd@mcpsmd.net</t>
  </si>
  <si>
    <t>Mrs Kimberly Ll</t>
  </si>
  <si>
    <t>Lloyd</t>
  </si>
  <si>
    <t>Cabin John Middle</t>
  </si>
  <si>
    <t>10701 Gainsborough Rd</t>
  </si>
  <si>
    <t>Potomac, MD 20854</t>
  </si>
  <si>
    <t>94FAC833-AACE-4014-88C3-76035E2F45D2</t>
  </si>
  <si>
    <t>Somer_Snider@mcpsmd.org</t>
  </si>
  <si>
    <t>Snider, Somer</t>
  </si>
  <si>
    <t>somer.snider@mcpsmd.net</t>
  </si>
  <si>
    <t>Ms  Somer Snide</t>
  </si>
  <si>
    <t>Snider</t>
  </si>
  <si>
    <t>Candlewood Elementary</t>
  </si>
  <si>
    <t>7210 Osprey Dr</t>
  </si>
  <si>
    <t>Rockville, MD 20855-1978</t>
  </si>
  <si>
    <t>D0595715-2EB6-4FA0-83D8-E5992526FE56</t>
  </si>
  <si>
    <t>Carolynn_Walsleben@mcpsmd.org</t>
  </si>
  <si>
    <t>Walsleben, Carolynn</t>
  </si>
  <si>
    <t>carolynn.walsleben@mcpsmd.net</t>
  </si>
  <si>
    <t>Mrs Carolynn Wa</t>
  </si>
  <si>
    <t>Walsleben</t>
  </si>
  <si>
    <t>Cannon Road Elementary</t>
  </si>
  <si>
    <t>901 Cannon Rd</t>
  </si>
  <si>
    <t>Silver Spring, MD 20904</t>
  </si>
  <si>
    <t>E2DA29E9-76CC-4A70-8978-21C8ACABCCA0</t>
  </si>
  <si>
    <t>Kristine_L_Donohue@mcpsmd.org</t>
  </si>
  <si>
    <t>Donohue, Kristine L.</t>
  </si>
  <si>
    <t>kristine.l.donohue@mcpsmd.net</t>
  </si>
  <si>
    <t>Ms  Kristine Do</t>
  </si>
  <si>
    <t>Donohue</t>
  </si>
  <si>
    <t>Captain James E. Daly Elementary</t>
  </si>
  <si>
    <t>20301 Brandermill Dr</t>
  </si>
  <si>
    <t>Germantown, MD 20876-5644</t>
  </si>
  <si>
    <t>6E18C98B-D43B-4845-A3F4-AC46DC1FD7EF</t>
  </si>
  <si>
    <t>Pedro_R_Cedeno@mcpsmd.org</t>
  </si>
  <si>
    <t>Cedeno, Pedro R.</t>
  </si>
  <si>
    <t>Cedeno</t>
  </si>
  <si>
    <t>Carderock Springs Elementary</t>
  </si>
  <si>
    <t>7401 Persimmon Tree Ln</t>
  </si>
  <si>
    <t>Bethesda, MD 20817</t>
  </si>
  <si>
    <t>5E53D94F-8B14-4163-A0FF-5AA4EF4549A5</t>
  </si>
  <si>
    <t>Anita_Chan@mcpsmd.org</t>
  </si>
  <si>
    <t>Chan, Anita</t>
  </si>
  <si>
    <t>anita.chan@mcpsmd.net</t>
  </si>
  <si>
    <t>Ms  Anita Chan</t>
  </si>
  <si>
    <t>Chan</t>
  </si>
  <si>
    <t>Career Readiness Education Acad (CREA)</t>
  </si>
  <si>
    <t>45 W Gude Dr # LLC10</t>
  </si>
  <si>
    <t>Rockville, MD 20850</t>
  </si>
  <si>
    <t>Carl Sandburg Learning Center</t>
  </si>
  <si>
    <t>1002 First St</t>
  </si>
  <si>
    <t>09020EF3-138C-4419-A7C2-BE5B8EF49E0C</t>
  </si>
  <si>
    <t>Elizabeth_Lacoursiere@mcpsmd.org</t>
  </si>
  <si>
    <t>Lacoursiere, Elizabeth</t>
  </si>
  <si>
    <t>elizabeth.lacoursiere@mcpsmd.net</t>
  </si>
  <si>
    <t>Principal Sandburg Lrng Ctr</t>
  </si>
  <si>
    <t>Lacoursiere</t>
  </si>
  <si>
    <t>Cashell Elementary</t>
  </si>
  <si>
    <t>17101 Cashell Rd</t>
  </si>
  <si>
    <t>Rockville, MD 20853-1054</t>
  </si>
  <si>
    <t>46177454-3880-4D77-B98A-561A125165BC</t>
  </si>
  <si>
    <t>Courtney_M_Jones@mcpsmd.org</t>
  </si>
  <si>
    <t>Jones, Courtney M.</t>
  </si>
  <si>
    <t>courtney.m.jones@mcpsmd.net</t>
  </si>
  <si>
    <t>Mrs Courtney Jo</t>
  </si>
  <si>
    <t>Jones</t>
  </si>
  <si>
    <t>Cedar Grove Elementary</t>
  </si>
  <si>
    <t>24001 Ridge Rd</t>
  </si>
  <si>
    <t>Germantown, MD 20876-4636</t>
  </si>
  <si>
    <t>C889EF8F-884D-49FE-97D5-FD3F21B09480</t>
  </si>
  <si>
    <t>Christopher_A_Wynne@mcpsmd.org</t>
  </si>
  <si>
    <t>Wynne, Christopher A.</t>
  </si>
  <si>
    <t>christopher.a.wynne@mcpsmd.net</t>
  </si>
  <si>
    <t>Mr  Christopher</t>
  </si>
  <si>
    <t>Wynne</t>
  </si>
  <si>
    <t>Chevy Chase Elementary</t>
  </si>
  <si>
    <t>4015 Rosemary St</t>
  </si>
  <si>
    <t>Chevy Chase, MD 20815-5221</t>
  </si>
  <si>
    <t>60BCFE29-8EED-491E-99DA-C177ABC88BEB</t>
  </si>
  <si>
    <t>Jody_L_Smith@mcpsmd.org</t>
  </si>
  <si>
    <t>Smith, Jody L.</t>
  </si>
  <si>
    <t>jody.l.smith@mcpsmd.net</t>
  </si>
  <si>
    <t>Mrs Jody Smith</t>
  </si>
  <si>
    <t>Clarksburg Elementary</t>
  </si>
  <si>
    <t>13530 Redgrave Pl</t>
  </si>
  <si>
    <t>Clarksburg, MD 20871-9701</t>
  </si>
  <si>
    <t>08FF0731-1951-4EC3-83B6-5172F250347F</t>
  </si>
  <si>
    <t>Carl_R_Bencal@mcpsmd.org</t>
  </si>
  <si>
    <t>Bencal, Carl R.</t>
  </si>
  <si>
    <t>carl.r.bencal@mcpsmd.net</t>
  </si>
  <si>
    <t>Mr  Carl Bencal</t>
  </si>
  <si>
    <t>Bencal</t>
  </si>
  <si>
    <t>Clarksburg High</t>
  </si>
  <si>
    <t>22500 Wims Rd</t>
  </si>
  <si>
    <t>Clarksburg, MD 20871-4100</t>
  </si>
  <si>
    <t>CAF9D1C6-AFA7-46F8-ABE7-08EC31460892</t>
  </si>
  <si>
    <t>Edward_K_Owusu@mcpsmd.org</t>
  </si>
  <si>
    <t>Owusu, Edward K.</t>
  </si>
  <si>
    <t>edward.k.owusu@mcpsmd.net</t>
  </si>
  <si>
    <t>Mr  Edward Owus</t>
  </si>
  <si>
    <t>Owusu</t>
  </si>
  <si>
    <t>Clearspring Elementary</t>
  </si>
  <si>
    <t>9930 Moyer Rd</t>
  </si>
  <si>
    <t>Damascus, MD 20872-2393</t>
  </si>
  <si>
    <t>64336C21-EFFC-4232-9A59-46D3FC531719</t>
  </si>
  <si>
    <t>Holly_A_Gilbertson@mcpsmd.org</t>
  </si>
  <si>
    <t>Gilbertson, Holly A.</t>
  </si>
  <si>
    <t>holly.a.gilbertson@mcpsmd.net</t>
  </si>
  <si>
    <t>Mrs Holly Gilbe</t>
  </si>
  <si>
    <t>Gilbertson</t>
  </si>
  <si>
    <t>Clopper Mill Elementary</t>
  </si>
  <si>
    <t>18501 Cinnamon Dr</t>
  </si>
  <si>
    <t>Germantown, MD 20874-2060</t>
  </si>
  <si>
    <t>3676D888-9D3D-43AD-94F3-0E822A7C1840</t>
  </si>
  <si>
    <t>Lawrence_D_Chep@mcpsmd.org</t>
  </si>
  <si>
    <t>Chep, Lawrence D.</t>
  </si>
  <si>
    <t>lawrence.d.chep@mcpsmd.net</t>
  </si>
  <si>
    <t>Mr  Lawrence Ch</t>
  </si>
  <si>
    <t>Chep</t>
  </si>
  <si>
    <t>Cloverly Elementary</t>
  </si>
  <si>
    <t>800 Briggs Chaney Rd</t>
  </si>
  <si>
    <t>Silver Spring, MD 20905-5503</t>
  </si>
  <si>
    <t>1E41A54F-9C93-4B90-B02D-E0E53B4F01F7</t>
  </si>
  <si>
    <t>Michael_D_Bayewitz@mcpsmd.org</t>
  </si>
  <si>
    <t>Bayewitz, Michael D.</t>
  </si>
  <si>
    <t>michael.d.bayewitz@mcpsmd.net</t>
  </si>
  <si>
    <t>Mr  Michael Bay</t>
  </si>
  <si>
    <t>Bayewitz</t>
  </si>
  <si>
    <t>Col. Zadok Magruder High</t>
  </si>
  <si>
    <t>5939 Muncaster Mill Rd</t>
  </si>
  <si>
    <t>Rockville, MD 20855-1735</t>
  </si>
  <si>
    <t>4506D859-9C2E-4A34-B058-07EC922DAA6A</t>
  </si>
  <si>
    <t>Leroy_C_Evans@mcpsmd.org</t>
  </si>
  <si>
    <t>Evans, Leroy C.</t>
  </si>
  <si>
    <t>leroy.c.evans@mcpsmd.net</t>
  </si>
  <si>
    <t>Mr  Leroy Evans</t>
  </si>
  <si>
    <t>Evans</t>
  </si>
  <si>
    <t>Cold Spring Elementary</t>
  </si>
  <si>
    <t>9201 Falls Chapel Way</t>
  </si>
  <si>
    <t>Potomac, MD 20854-3059</t>
  </si>
  <si>
    <t>A176D0DE-EA90-4B4C-9AAA-96EAFCB6E128</t>
  </si>
  <si>
    <t>Natalie_M_Hambrecht@mcpsmd.org</t>
  </si>
  <si>
    <t>Hambrecht, Natalie M.</t>
  </si>
  <si>
    <t>natalie.m.hambrecht@mcpsmd.net</t>
  </si>
  <si>
    <t>Mrs Natalie Ham</t>
  </si>
  <si>
    <t>Hambrecht</t>
  </si>
  <si>
    <t>College Gardens Elementary</t>
  </si>
  <si>
    <t>1700 Yale Pl</t>
  </si>
  <si>
    <t>Rockville, MD 20850-1116</t>
  </si>
  <si>
    <t>C633C2C3-95AA-4F3F-92D2-EE6CDD275584</t>
  </si>
  <si>
    <t>Stacey_F_Rogovoy@mcpsmd.org</t>
  </si>
  <si>
    <t>Rogovoy, Stacey F.</t>
  </si>
  <si>
    <t>stacey.f.rogovoy@mcpsmd.net</t>
  </si>
  <si>
    <t>Mrs Stacey Rogo</t>
  </si>
  <si>
    <t>Rogovoy</t>
  </si>
  <si>
    <t>Consortia Office</t>
  </si>
  <si>
    <t>Cresthaven Elementary</t>
  </si>
  <si>
    <t>1234 Cresthaven Dr</t>
  </si>
  <si>
    <t>Silver Spring, MD 20903</t>
  </si>
  <si>
    <t>1D0EFA91-98F7-48AF-9993-1CD124ABC8E4</t>
  </si>
  <si>
    <t>Sherri_A_Gorden@mcpsmd.org</t>
  </si>
  <si>
    <t>Gorden, Sherri A.</t>
  </si>
  <si>
    <t>sherri.a.gorden@mcpsmd.net</t>
  </si>
  <si>
    <t>Ms  Sherri Gord</t>
  </si>
  <si>
    <t>Gorden</t>
  </si>
  <si>
    <t>Damascus Elementary</t>
  </si>
  <si>
    <t>10201 Bethesda Church Rd</t>
  </si>
  <si>
    <t>Damascus, MD 20872-1739</t>
  </si>
  <si>
    <t>168FD7A5-3B99-4B48-9F54-E311DE6373F3</t>
  </si>
  <si>
    <t>Spencer_Delisle@mcpsmd.org</t>
  </si>
  <si>
    <t>Delisle, Spencer</t>
  </si>
  <si>
    <t>spencer.delisle@mcpsmd.net</t>
  </si>
  <si>
    <t>Mr  Spencer Del</t>
  </si>
  <si>
    <t>Delisle</t>
  </si>
  <si>
    <t>Damascus High</t>
  </si>
  <si>
    <t>25921 Ridge Rd</t>
  </si>
  <si>
    <t>Damascus, MD 20872-1846</t>
  </si>
  <si>
    <t>25D71B04-71B1-4395-8780-E2F95CADF553</t>
  </si>
  <si>
    <t>Kevin_D_Yates@mcpsmd.org</t>
  </si>
  <si>
    <t>Yates, Kevin D.</t>
  </si>
  <si>
    <t>kevin.d.yates@mcpsmd.net</t>
  </si>
  <si>
    <t>Mr  Kevin Yates</t>
  </si>
  <si>
    <t>Yates</t>
  </si>
  <si>
    <t>Darnestown Elementary</t>
  </si>
  <si>
    <t>15030 Turkey Foot Rd</t>
  </si>
  <si>
    <t>Gaithersburg, MD 20878-3901</t>
  </si>
  <si>
    <t>67857C0A-AEA3-4C7C-8CAF-D71E44CCD5C4</t>
  </si>
  <si>
    <t>Mark_Craemer@mcpsmd.org</t>
  </si>
  <si>
    <t>Craemer, Mark E.</t>
  </si>
  <si>
    <t>mark.craemer@mcpsmd.net</t>
  </si>
  <si>
    <t>Mr  Mark Craeme</t>
  </si>
  <si>
    <t>Craemer</t>
  </si>
  <si>
    <t>Diamond Elementary</t>
  </si>
  <si>
    <t>4 Marquis Dr</t>
  </si>
  <si>
    <t>Gaithersburg, MD 20878-1838</t>
  </si>
  <si>
    <t>9692405A-6CCF-43D0-81A1-6E9DE44AA931</t>
  </si>
  <si>
    <t>Daniel_Walder@mcpsmd.org</t>
  </si>
  <si>
    <t>Walder, Daniel</t>
  </si>
  <si>
    <t>daniel.walder@mcpsmd.net</t>
  </si>
  <si>
    <t>Mr  Daniel Wald</t>
  </si>
  <si>
    <t>Walder</t>
  </si>
  <si>
    <t>Dr. Charles R. Drew Elementary</t>
  </si>
  <si>
    <t>1200 Swingingdale Dr</t>
  </si>
  <si>
    <t>Silver Spring, MD 20905-7049</t>
  </si>
  <si>
    <t>7D5E1279-9DFC-4BD4-9562-E4F823591253</t>
  </si>
  <si>
    <t>Meredith_Casper@mcpsmd.org</t>
  </si>
  <si>
    <t>Casper, Meredith A.</t>
  </si>
  <si>
    <t>meredith.casper@mcpsmd.net</t>
  </si>
  <si>
    <t>Mrs Meredith Ca</t>
  </si>
  <si>
    <t>Casper</t>
  </si>
  <si>
    <t>Dr. Martin Luther King Jr. Middle</t>
  </si>
  <si>
    <t>13737 Wisteria Dr</t>
  </si>
  <si>
    <t>Germantown, MD 20874-1044</t>
  </si>
  <si>
    <t>A0BDCAE3-18FC-4DAD-8BA9-8942F3B187C3</t>
  </si>
  <si>
    <t>Brandi_Richardson@mcpsmd.org</t>
  </si>
  <si>
    <t>Overton, Brandi K.</t>
  </si>
  <si>
    <t>brandi.richardson@mcpsmd.net</t>
  </si>
  <si>
    <t>Ms  Brandi Rich</t>
  </si>
  <si>
    <t>Overton</t>
  </si>
  <si>
    <t>Dr. Sally K. Ride Elementary</t>
  </si>
  <si>
    <t>21301 Seneca Crossing Dr</t>
  </si>
  <si>
    <t>Germantown, MD 20876-4378</t>
  </si>
  <si>
    <t>434599FA-D6B2-459D-88FE-3370692B4BAE</t>
  </si>
  <si>
    <t>Elise_M_Burgess@mcpsmd.org</t>
  </si>
  <si>
    <t>Burgess, Elise M.</t>
  </si>
  <si>
    <t>elise.m.burgess@mcpsmd.net</t>
  </si>
  <si>
    <t>Mrs Elise Burge</t>
  </si>
  <si>
    <t>Burgess</t>
  </si>
  <si>
    <t>DuFief Elementary</t>
  </si>
  <si>
    <t>15001 DuFief Dr</t>
  </si>
  <si>
    <t>Gaithersburg, MD 20878-2415</t>
  </si>
  <si>
    <t>29522B01-1DC3-4172-9A8B-3772414C0C9B</t>
  </si>
  <si>
    <t>Gregg_Baron@mcpsmd.org</t>
  </si>
  <si>
    <t>Baron, Gregg</t>
  </si>
  <si>
    <t>gregg.baron@mcpsmd.net</t>
  </si>
  <si>
    <t>Mr  Gregg Baron</t>
  </si>
  <si>
    <t>Baron</t>
  </si>
  <si>
    <t>Earle B. Wood Middle</t>
  </si>
  <si>
    <t>14615 Bauer Dr</t>
  </si>
  <si>
    <t>Rockville, MD 20853-2400</t>
  </si>
  <si>
    <t>CFF762F8-F314-4CC1-9846-E3D9A55B16DF</t>
  </si>
  <si>
    <t>Heidi_L_Slatcoff@mcpsmd.org</t>
  </si>
  <si>
    <t>Slatcoff, Heidi L.</t>
  </si>
  <si>
    <t>heidi.l.slatcoff@mcpsmd.net</t>
  </si>
  <si>
    <t>Ms  Heidi Slatc</t>
  </si>
  <si>
    <t>Slatcoff</t>
  </si>
  <si>
    <t>East Silver Spring Elementary</t>
  </si>
  <si>
    <t>631 Silver Spring Ave</t>
  </si>
  <si>
    <t>Silver Spring, MD 20910-4607</t>
  </si>
  <si>
    <t>C92E8E85-69A3-4797-A56D-12088BC785C2</t>
  </si>
  <si>
    <t>Michael_Burd@mcpsmd.org</t>
  </si>
  <si>
    <t>Burd, Michael W.</t>
  </si>
  <si>
    <t>michael.burd@mcpsmd.net</t>
  </si>
  <si>
    <t>Mr  Michael Bur</t>
  </si>
  <si>
    <t>Burd</t>
  </si>
  <si>
    <t>Eastern Middle</t>
  </si>
  <si>
    <t>300 University Blvd E</t>
  </si>
  <si>
    <t>Silver Spring, MD 20901-2866</t>
  </si>
  <si>
    <t>09216334-5C0F-4758-B580-3EE77032F689</t>
  </si>
  <si>
    <t>Lisa_N_Shorts@mcpsmd.org</t>
  </si>
  <si>
    <t>Shorts, Lisa N.</t>
  </si>
  <si>
    <t>lisa.n.shorts@mcpsmd.net</t>
  </si>
  <si>
    <t>Mrs Lisa Shorts</t>
  </si>
  <si>
    <t>Shorts</t>
  </si>
  <si>
    <t>ESY</t>
  </si>
  <si>
    <t>Fairland Elementary</t>
  </si>
  <si>
    <t>14315 Fairdale Rd</t>
  </si>
  <si>
    <t>Silver Spring, MD 20905-4532</t>
  </si>
  <si>
    <t>01A664E3-3193-4976-880B-5EBD6E26D16B</t>
  </si>
  <si>
    <t>Lakeisha_D_Lashley@mcpsmd.org</t>
  </si>
  <si>
    <t>Lashley, Lakeisha D.</t>
  </si>
  <si>
    <t>lakeisha.d.lashley@mcpsmd.net</t>
  </si>
  <si>
    <t>Mrs Lakeisha La</t>
  </si>
  <si>
    <t>Lashley</t>
  </si>
  <si>
    <t>Fallsmead Elementary</t>
  </si>
  <si>
    <t>1800 Greenplace Ter</t>
  </si>
  <si>
    <t>EDB4FDCC-07BF-43CC-AC66-D82F0B210111</t>
  </si>
  <si>
    <t>Christina_S_Lee@mcpsmd.org</t>
  </si>
  <si>
    <t>Lee, Christina S.</t>
  </si>
  <si>
    <t>christina.s.lee@mcpsmd.net</t>
  </si>
  <si>
    <t>Ms  Christina L</t>
  </si>
  <si>
    <t>Lee</t>
  </si>
  <si>
    <t>Farmland Elementary</t>
  </si>
  <si>
    <t>7000 Old Gate Rd</t>
  </si>
  <si>
    <t>CA4351EC-647F-473C-85B6-6CB8B405DFC1</t>
  </si>
  <si>
    <t>April_D_Longest@mcpsmd.org</t>
  </si>
  <si>
    <t>Longest, April D.</t>
  </si>
  <si>
    <t>april.d.longest@mcpsmd.net</t>
  </si>
  <si>
    <t>Mrs April Longe</t>
  </si>
  <si>
    <t>Longest</t>
  </si>
  <si>
    <t>Fields Road Elementary</t>
  </si>
  <si>
    <t>One School Dr</t>
  </si>
  <si>
    <t>Gaithersburg, MD 20878-2809</t>
  </si>
  <si>
    <t>3F3A9093-59FA-463C-82CF-422DF8007057</t>
  </si>
  <si>
    <t>Erica_Williams@mcpsmd.org</t>
  </si>
  <si>
    <t>Williams, Erica W.</t>
  </si>
  <si>
    <t>erica.williams@mcpsmd.net</t>
  </si>
  <si>
    <t>Ms  Erica Willi</t>
  </si>
  <si>
    <t>Williams</t>
  </si>
  <si>
    <t>Flora M. Singer Elementary</t>
  </si>
  <si>
    <t>2600 Hayden Dr</t>
  </si>
  <si>
    <t>SILVER SPRING, MD 20902</t>
  </si>
  <si>
    <t>B5B33EE2-7ED6-47F1-BF06-23E0F2CB6B18</t>
  </si>
  <si>
    <t>Kyle_J_Heatwole@mcpsmd.org</t>
  </si>
  <si>
    <t>Heatwole, Kyle J.</t>
  </si>
  <si>
    <t>kyle.j.heatwole@mcpsmd.net</t>
  </si>
  <si>
    <t>Mr  Kyle Heatwo</t>
  </si>
  <si>
    <t>Heatwole</t>
  </si>
  <si>
    <t>Flower Hill Elementary</t>
  </si>
  <si>
    <t>18425 Flower Hill Way</t>
  </si>
  <si>
    <t>Gaithersburg, MD 20879-4600</t>
  </si>
  <si>
    <t>61383B73-2529-4F34-84BF-5F8290C38AF9</t>
  </si>
  <si>
    <t>Joshua_Fine@mcpsmd.org</t>
  </si>
  <si>
    <t>Fine, Joshua S.</t>
  </si>
  <si>
    <t>joshua.fine@mcpsmd.net</t>
  </si>
  <si>
    <t>Mr  Joshua Fine</t>
  </si>
  <si>
    <t>Fine</t>
  </si>
  <si>
    <t>Flower Valley Elementary</t>
  </si>
  <si>
    <t>4615 Sunflower Dr</t>
  </si>
  <si>
    <t>Rockville, MD 20853-1799</t>
  </si>
  <si>
    <t>87D46D99-09FB-4530-83F2-2770F2A9B10F</t>
  </si>
  <si>
    <t>Angie_L_Fish@mcpsmd.org</t>
  </si>
  <si>
    <t>Fish, Angie L.</t>
  </si>
  <si>
    <t>angie.l.fish@mcpsmd.net</t>
  </si>
  <si>
    <t>Mrs Angie Fish</t>
  </si>
  <si>
    <t>Fish</t>
  </si>
  <si>
    <t>Forest Knolls Elementary</t>
  </si>
  <si>
    <t>10830 Eastwood Ave</t>
  </si>
  <si>
    <t>Silver Spring, MD 20901-1052</t>
  </si>
  <si>
    <t>3AF80287-BE7E-4205-B343-6D065172196B</t>
  </si>
  <si>
    <t>Jennifer_Taylor-Cox@mcpsmd.org</t>
  </si>
  <si>
    <t>Taylor-Cox, Jennifer</t>
  </si>
  <si>
    <t>jennifer.taylor-cox@mcpsmd.net</t>
  </si>
  <si>
    <t>Dr  Jennifer Ta</t>
  </si>
  <si>
    <t>Taylor-Cox</t>
  </si>
  <si>
    <t>Forest Oak Middle</t>
  </si>
  <si>
    <t>651 Saybrooke Oaks Blvd</t>
  </si>
  <si>
    <t>Gaithersburg, MD 20877-3488</t>
  </si>
  <si>
    <t>ACF0AD78-C6A2-4D5D-9606-80164B7923FC</t>
  </si>
  <si>
    <t>Shahid_Muhammad@mcpsmd.org</t>
  </si>
  <si>
    <t>Muhammad, Shahid A.</t>
  </si>
  <si>
    <t>shahid.muhammad@mcpsmd.net</t>
  </si>
  <si>
    <t>Mr  Shahid Muha</t>
  </si>
  <si>
    <t>Muhammad</t>
  </si>
  <si>
    <t>Foundations School at Blair Ewing</t>
  </si>
  <si>
    <t>Fox Chapel Elementary</t>
  </si>
  <si>
    <t>19315 Archdale Rd</t>
  </si>
  <si>
    <t>Germantown, MD 20876-1601</t>
  </si>
  <si>
    <t>B0BE6C50-BFA8-4E1B-9188-185599D0FE28</t>
  </si>
  <si>
    <t>Lita_M_Yates@mcpsmd.org</t>
  </si>
  <si>
    <t>Yates, Lita M.</t>
  </si>
  <si>
    <t>lita.m.yates@mcpsmd.net</t>
  </si>
  <si>
    <t>Mrs Lita Yates</t>
  </si>
  <si>
    <t>Francis Scott Key Middle</t>
  </si>
  <si>
    <t>910 Schindler Dr</t>
  </si>
  <si>
    <t>Silver Spring, MD 20903-1334</t>
  </si>
  <si>
    <t>18783DCE-E909-472C-86C6-1CF059D28FBB</t>
  </si>
  <si>
    <t>Norman_L_Coleman@mcpsmd.org</t>
  </si>
  <si>
    <t>Coleman, Norman L.</t>
  </si>
  <si>
    <t>norman.l.coleman@mcpsmd.net</t>
  </si>
  <si>
    <t>Mr  Norman Cole</t>
  </si>
  <si>
    <t>Coleman</t>
  </si>
  <si>
    <t>Gaithersburg Elementary</t>
  </si>
  <si>
    <t>35 N Summit Ave</t>
  </si>
  <si>
    <t>Gaithersburg, MD 20877-2921</t>
  </si>
  <si>
    <t>0A6288CC-1ABD-4470-BCD6-27963BE7ABBD</t>
  </si>
  <si>
    <t>Paula_G_Summers@mcpsmd.org</t>
  </si>
  <si>
    <t>Summers, Paula G.</t>
  </si>
  <si>
    <t>paula.g.summers@mcpsmd.net</t>
  </si>
  <si>
    <t>Ms  Paula Summe</t>
  </si>
  <si>
    <t>Summers</t>
  </si>
  <si>
    <t>Gaithersburg High</t>
  </si>
  <si>
    <t>101 Education Blvd</t>
  </si>
  <si>
    <t>Gaithersburg, MD 20877-2307</t>
  </si>
  <si>
    <t>21436D27-255D-4B74-8ADF-1B22A4D6BC53</t>
  </si>
  <si>
    <t>Cary_Dimmick@mcpsmd.org</t>
  </si>
  <si>
    <t>Dimmick, Cary D.</t>
  </si>
  <si>
    <t>cary.dimmick@mcpsmd.net</t>
  </si>
  <si>
    <t>Mr  Cary Dimmic</t>
  </si>
  <si>
    <t>Dimmick</t>
  </si>
  <si>
    <t>Gaithersburg Middle</t>
  </si>
  <si>
    <t>2 Teachers Way</t>
  </si>
  <si>
    <t>Gaithersburg, MD 20877-3423</t>
  </si>
  <si>
    <t>307677ED-9E4B-4247-91CE-DC67305D590E</t>
  </si>
  <si>
    <t>Ann_B_Dolan@mcpsmd.org</t>
  </si>
  <si>
    <t>Dolan Rindner, Ann B.</t>
  </si>
  <si>
    <t>ann.b.dolan@mcpsmd.net</t>
  </si>
  <si>
    <t>Mrs Ann Dolan R</t>
  </si>
  <si>
    <t>Dolan Rindner</t>
  </si>
  <si>
    <t>Galway Elementary</t>
  </si>
  <si>
    <t>12612 Galway Dr</t>
  </si>
  <si>
    <t>Silver Spring, MD 20904-1727</t>
  </si>
  <si>
    <t>8666564C-CF41-4375-9D75-5D626EC40824</t>
  </si>
  <si>
    <t>Dorothea_Fuller@mcpsmd.org</t>
  </si>
  <si>
    <t>Fuller, Dorothea A.</t>
  </si>
  <si>
    <t>dorothea.fuller@mcpsmd.net</t>
  </si>
  <si>
    <t>Mrs Dorothea Fu</t>
  </si>
  <si>
    <t>Fuller</t>
  </si>
  <si>
    <t>Garrett Park Elementary</t>
  </si>
  <si>
    <t>4810 Oxford St</t>
  </si>
  <si>
    <t>Kensington, MD 20896</t>
  </si>
  <si>
    <t>F538143A-1474-49D5-B733-A53B4B0F520C</t>
  </si>
  <si>
    <t>Daniel_K_Tucci@mcpsmd.org</t>
  </si>
  <si>
    <t>Tucci, Daniel K.</t>
  </si>
  <si>
    <t>daniel.k.tucci@mcpsmd.net</t>
  </si>
  <si>
    <t>Mr  Daniel Tucc</t>
  </si>
  <si>
    <t>Tucci</t>
  </si>
  <si>
    <t>George B Thomas Learning Academy</t>
  </si>
  <si>
    <t>Georgian Forest Elementary</t>
  </si>
  <si>
    <t>3100 Regina Dr</t>
  </si>
  <si>
    <t>Silver Spring, MD 20906-5353</t>
  </si>
  <si>
    <t>E238DF3F-E33E-4714-AF61-D283ECD36F7C</t>
  </si>
  <si>
    <t>MaryJane_Q_Ennis@mcpsmd.org</t>
  </si>
  <si>
    <t>Ennis, Mary Jane Q.</t>
  </si>
  <si>
    <t>maryjane.q.ennis@mcpsmd.net</t>
  </si>
  <si>
    <t>Dr  Mary Jane E</t>
  </si>
  <si>
    <t>Ennis</t>
  </si>
  <si>
    <t>Germantown Elementary</t>
  </si>
  <si>
    <t>19110 Liberty Mill Rd</t>
  </si>
  <si>
    <t>Germantown, MD 20874-1496</t>
  </si>
  <si>
    <t>16A06D54-C3FD-44BF-BF21-92E51261CA90</t>
  </si>
  <si>
    <t>Amy_D_Bryan@mcpsmd.org</t>
  </si>
  <si>
    <t>Bryan, Amy D.</t>
  </si>
  <si>
    <t>amy.d.bryan@mcpsmd.net</t>
  </si>
  <si>
    <t>Mrs Amy Bryan</t>
  </si>
  <si>
    <t>Bryan</t>
  </si>
  <si>
    <t>Glen Haven Elementary</t>
  </si>
  <si>
    <t>10900 Inwood Ave</t>
  </si>
  <si>
    <t>Silver Spring, MD 20902-3638</t>
  </si>
  <si>
    <t>273511CA-F2D3-4C5F-8480-355D65EF3117</t>
  </si>
  <si>
    <t>Tara_M_Strain@mcpsmd.org</t>
  </si>
  <si>
    <t>Strain, Tara M.</t>
  </si>
  <si>
    <t>tara.m.strain@mcpsmd.net</t>
  </si>
  <si>
    <t>Mrs Tara Strain</t>
  </si>
  <si>
    <t>Strain</t>
  </si>
  <si>
    <t>Glenallan Elementary</t>
  </si>
  <si>
    <t>12520 Heurich Rd</t>
  </si>
  <si>
    <t>Silver Spring, MD 20902</t>
  </si>
  <si>
    <t>DA1A6C30-BEEC-4567-A5A2-E48D4D903D80</t>
  </si>
  <si>
    <t>Ann_Hefflin@mcpsmd.org</t>
  </si>
  <si>
    <t>Hefflin, Ann</t>
  </si>
  <si>
    <t>ann.hefflin@mcpsmd.net</t>
  </si>
  <si>
    <t>Ms  Ann Hefflin</t>
  </si>
  <si>
    <t>Hefflin</t>
  </si>
  <si>
    <t>Goshen Elementary</t>
  </si>
  <si>
    <t>8701 Warfield Rd</t>
  </si>
  <si>
    <t>Gaithersburg, MD 20882-4426</t>
  </si>
  <si>
    <t>F36094C6-08AE-4542-8070-83B5E0057020</t>
  </si>
  <si>
    <t>Stephanie_R_Dinga@mcpsmd.org</t>
  </si>
  <si>
    <t>Dinga, Stephanie R.</t>
  </si>
  <si>
    <t>stephanie.r.schaufelberger@mcpsmd.net</t>
  </si>
  <si>
    <t>MissStephanie D</t>
  </si>
  <si>
    <t>Dinga</t>
  </si>
  <si>
    <t>Great Seneca Creek Elementary</t>
  </si>
  <si>
    <t>13010 Dairymaid Dr</t>
  </si>
  <si>
    <t>Germantown, MD 20874-2310</t>
  </si>
  <si>
    <t>4EB366DD-72E1-4C89-B7A9-C9AB80A6A034</t>
  </si>
  <si>
    <t>Scott_T_Curry@mcpsmd.org</t>
  </si>
  <si>
    <t>Curry, Scott T.</t>
  </si>
  <si>
    <t>scott.t.curry@mcpsmd.net</t>
  </si>
  <si>
    <t>Mr  Scott Curry</t>
  </si>
  <si>
    <t>Curry</t>
  </si>
  <si>
    <t>Greencastle Elementary</t>
  </si>
  <si>
    <t>13611 Robey Rd</t>
  </si>
  <si>
    <t>Silver Spring, MD 20904-4829</t>
  </si>
  <si>
    <t>F79329B0-A55F-4158-8C78-23B123EC0BA3</t>
  </si>
  <si>
    <t>Robert_A_Obstgarten@mcpsmd.org</t>
  </si>
  <si>
    <t>Obstgarten, Robert A.</t>
  </si>
  <si>
    <t>robert.a.obstgarten@mcpsmd.net</t>
  </si>
  <si>
    <t>Mr  Robert Obst</t>
  </si>
  <si>
    <t>Obstgarten</t>
  </si>
  <si>
    <t>Greenwood Elementary</t>
  </si>
  <si>
    <t>3336 Gold Mine Rd</t>
  </si>
  <si>
    <t>Brookeville, MD 20833-2713</t>
  </si>
  <si>
    <t>DEE6F01B-02AD-4AC4-9C46-BA3A2C705E8D</t>
  </si>
  <si>
    <t>Jennifer_A_Seidel@mcpsmd.org</t>
  </si>
  <si>
    <t>Seidel, Jennifer A.</t>
  </si>
  <si>
    <t>jennifer.a.seidel@mcpsmd.net</t>
  </si>
  <si>
    <t>Mrs Jennifer Se</t>
  </si>
  <si>
    <t>Seidel</t>
  </si>
  <si>
    <t>Hallie Wells Middle</t>
  </si>
  <si>
    <t>11701 Little Seneca Pkwy</t>
  </si>
  <si>
    <t>Clarksburg, MD 20871</t>
  </si>
  <si>
    <t>CF589549-A1C9-46DA-96BC-879A11D04D78</t>
  </si>
  <si>
    <t>Barbara_A_Woodward@mcpsmd.org</t>
  </si>
  <si>
    <t>Woodward, Barbara A.</t>
  </si>
  <si>
    <t>barbara.a.woodward@mcpsmd.net</t>
  </si>
  <si>
    <t>Dr  Barbara Woo</t>
  </si>
  <si>
    <t>Woodward</t>
  </si>
  <si>
    <t>Harmony Hills Elementary</t>
  </si>
  <si>
    <t>13407 Lydia St</t>
  </si>
  <si>
    <t>Silver Spring, MD 20906-5225</t>
  </si>
  <si>
    <t>1194FA2A-2DEE-4AC3-90F0-1D353EFDCA09</t>
  </si>
  <si>
    <t>Carole_E_Rawlison@mcpsmd.org</t>
  </si>
  <si>
    <t>Rawlison, Carole E.</t>
  </si>
  <si>
    <t>carole.e.rawlison@mcpsmd.net</t>
  </si>
  <si>
    <t>Dr  Carole Rawl</t>
  </si>
  <si>
    <t>Rawlison</t>
  </si>
  <si>
    <t>Harriet R. Tubman Elementary</t>
  </si>
  <si>
    <t>400 Victory Farm Dr</t>
  </si>
  <si>
    <t>Gaithersburg, MD 20877</t>
  </si>
  <si>
    <t>DCCB15B1-F0DC-436C-AC35-470F20E181EF</t>
  </si>
  <si>
    <t>Cavena_J_Griffith@mcpsmd.org</t>
  </si>
  <si>
    <t>Griffith, Cavena J.</t>
  </si>
  <si>
    <t>cavena.j.griffith@mcpsmd.net</t>
  </si>
  <si>
    <t>Mrs Cavena Grif</t>
  </si>
  <si>
    <t>Griffith</t>
  </si>
  <si>
    <t>Herbert Hoover Middle</t>
  </si>
  <si>
    <t>8810 Postoak Rd</t>
  </si>
  <si>
    <t>Rockville, MD 20854-3553</t>
  </si>
  <si>
    <t>7093CD61-D1BC-4263-ADEB-63E33681C564</t>
  </si>
  <si>
    <t>Yong_M_Kim@mcpsmd.org</t>
  </si>
  <si>
    <t>Kim, Yong M.</t>
  </si>
  <si>
    <t>yong.m.kim@mcpsmd.net</t>
  </si>
  <si>
    <t>Dr  Yong Kim</t>
  </si>
  <si>
    <t>Kim</t>
  </si>
  <si>
    <t>Highland Elementary</t>
  </si>
  <si>
    <t>3100 Medway St</t>
  </si>
  <si>
    <t>Silver Spring, MD 20902-2225</t>
  </si>
  <si>
    <t>A8ADE2E0-3A0A-46EB-9B69-A0915C87BAA0</t>
  </si>
  <si>
    <t>Scott_Steffan@mcpsmd.org</t>
  </si>
  <si>
    <t>Steffan, Scott R.</t>
  </si>
  <si>
    <t>scott.steffan@mcpsmd.net</t>
  </si>
  <si>
    <t>Mr  Scott Steff</t>
  </si>
  <si>
    <t>Steffan</t>
  </si>
  <si>
    <t>Highland View Elementary</t>
  </si>
  <si>
    <t>9010 Providence Ave</t>
  </si>
  <si>
    <t>Silver Spring, MD 20901-4912</t>
  </si>
  <si>
    <t>9AE83503-25A8-432A-A223-637676CE3216</t>
  </si>
  <si>
    <t>Hanna_Kim@mcpsmd.org</t>
  </si>
  <si>
    <t>Yim, Hanna</t>
  </si>
  <si>
    <t>hanna.kim@mcpsmd.net</t>
  </si>
  <si>
    <t>Mrs Hanna Yim</t>
  </si>
  <si>
    <t>Yim</t>
  </si>
  <si>
    <t>Home Instruction</t>
  </si>
  <si>
    <t>850 Hungerford Dr</t>
  </si>
  <si>
    <t>International Student Admissions</t>
  </si>
  <si>
    <t>Jackson Road Elementary</t>
  </si>
  <si>
    <t>900 Jackson Rd</t>
  </si>
  <si>
    <t>Silver Spring, MD 20904-2807</t>
  </si>
  <si>
    <t>98DB38C7-8720-4F3F-B9E6-1DFA09A1EFA5</t>
  </si>
  <si>
    <t>Rosario_Velasquez@mcpsmd.org</t>
  </si>
  <si>
    <t>Velasquez, Rosario</t>
  </si>
  <si>
    <t>rosario.velasquez@mcpsmd.net</t>
  </si>
  <si>
    <t>Ms  Rosario Vel</t>
  </si>
  <si>
    <t>Velasquez</t>
  </si>
  <si>
    <t>James Hubert Blake High</t>
  </si>
  <si>
    <t>300 Norwood Rd</t>
  </si>
  <si>
    <t>Silver Spring, MD 20905-3800</t>
  </si>
  <si>
    <t>4C3A9823-E960-4BD0-B835-841B23C747C5</t>
  </si>
  <si>
    <t>Robert_Sinclair@mcpsmd.org</t>
  </si>
  <si>
    <t>Sinclair Jr, Robert</t>
  </si>
  <si>
    <t>robert.sinclair@mcpsmd.net</t>
  </si>
  <si>
    <t>Mr  Robert Sinc</t>
  </si>
  <si>
    <t>Sinclair Jr</t>
  </si>
  <si>
    <t>JoAnn Leleck Elementary at Broad Acres</t>
  </si>
  <si>
    <t>710 Beacon Rd</t>
  </si>
  <si>
    <t>Silver Spring, MD 20903-2568</t>
  </si>
  <si>
    <t>69009C6D-50D4-46BC-B7C3-9DB0428BBA58</t>
  </si>
  <si>
    <t>Harold_A_Barber@mcpsmd.org</t>
  </si>
  <si>
    <t>Barber, Harold A.</t>
  </si>
  <si>
    <t>harold.a.barber@mcpsmd.net</t>
  </si>
  <si>
    <t>Dr  Harold Barb</t>
  </si>
  <si>
    <t>Barber</t>
  </si>
  <si>
    <t>John F. Kennedy High</t>
  </si>
  <si>
    <t>1901 Randolph Rd</t>
  </si>
  <si>
    <t>Silver Spring, MD 20902-1447</t>
  </si>
  <si>
    <t>29DD3E87-3B23-4644-A0E8-B3DFA7C11452</t>
  </si>
  <si>
    <t>Joe_L_RubensJr@mcpsmd.org</t>
  </si>
  <si>
    <t>Rubens Jr, Joe L.</t>
  </si>
  <si>
    <t>joe.l.rubensjr@mcpsmd.net</t>
  </si>
  <si>
    <t>Dr  Joe Rubens</t>
  </si>
  <si>
    <t>Rubens Jr</t>
  </si>
  <si>
    <t>John Poole Middle</t>
  </si>
  <si>
    <t>17014 Tom Fox Ave</t>
  </si>
  <si>
    <t>Poolesville, MD 20837-2222</t>
  </si>
  <si>
    <t>93BD4927-B43D-47BF-BE31-B918199B5802</t>
  </si>
  <si>
    <t>Jon_Green@mcpsmd.org</t>
  </si>
  <si>
    <t>Green, Jon</t>
  </si>
  <si>
    <t>jon.green@mcpsmd.net</t>
  </si>
  <si>
    <t>Mr  Jon Green</t>
  </si>
  <si>
    <t>Green</t>
  </si>
  <si>
    <t>John T. Baker Middle</t>
  </si>
  <si>
    <t>25400 Oak Dr</t>
  </si>
  <si>
    <t>Damascus, MD 20872-1814</t>
  </si>
  <si>
    <t>055E4C59-57B0-4072-BEBC-4955BCA6B198</t>
  </si>
  <si>
    <t>Louise_J_Worthington@mcpsmd.org</t>
  </si>
  <si>
    <t>Worthington, Louise J.</t>
  </si>
  <si>
    <t>louise.j.worthington@mcpsmd.net</t>
  </si>
  <si>
    <t>Dr  Louise Wort</t>
  </si>
  <si>
    <t>Worthington</t>
  </si>
  <si>
    <t>Jones Lane Elementary</t>
  </si>
  <si>
    <t>15110 Jones Ln</t>
  </si>
  <si>
    <t>Gaithersburg, MD 20878-3719</t>
  </si>
  <si>
    <t>A7D351D4-E0BF-4630-8A01-27A2EE3F42FB</t>
  </si>
  <si>
    <t>Ron_Morris@mcpsmd.org</t>
  </si>
  <si>
    <t>Morris, Ron</t>
  </si>
  <si>
    <t>Morris</t>
  </si>
  <si>
    <t>Judith A. Resnik Elementary</t>
  </si>
  <si>
    <t>7301 Hadley Farms Dr</t>
  </si>
  <si>
    <t>Gaithersburg, MD 20879-4581</t>
  </si>
  <si>
    <t>89721765-7963-4AA9-AD70-5D69E825DE03</t>
  </si>
  <si>
    <t>Latricia_D_Thomas@mcpsmd.org</t>
  </si>
  <si>
    <t>Thomas, LaTricia D.</t>
  </si>
  <si>
    <t>latricia.d.thomas@mcpsmd.net</t>
  </si>
  <si>
    <t>Ms  LaTricia Th</t>
  </si>
  <si>
    <t>Thomas</t>
  </si>
  <si>
    <t>Julius West Middle</t>
  </si>
  <si>
    <t>651 Great Falls Rd</t>
  </si>
  <si>
    <t>Rockville, MD 20850-2830</t>
  </si>
  <si>
    <t>1E6532C0-958E-4027-9B22-BD9CB069EFCA</t>
  </si>
  <si>
    <t>Craig_Staton@mcpsmd.org</t>
  </si>
  <si>
    <t>Staton, Craig W.</t>
  </si>
  <si>
    <t>craig.staton@mcpsmd.net</t>
  </si>
  <si>
    <t>Mr  Craig Stato</t>
  </si>
  <si>
    <t>Staton</t>
  </si>
  <si>
    <t>Kemp Mill Elementary</t>
  </si>
  <si>
    <t>411 Sisson St</t>
  </si>
  <si>
    <t>Silver Spring, MD 20902-3150</t>
  </si>
  <si>
    <t>C1731FCD-12EC-47E2-A2F7-E0C9F7952813</t>
  </si>
  <si>
    <t>Bernard_X_James@mcpsmd.org</t>
  </si>
  <si>
    <t>James, Bernard X.</t>
  </si>
  <si>
    <t>bernard.x.james@mcpsmd.net</t>
  </si>
  <si>
    <t>Dr  Bernard Jam</t>
  </si>
  <si>
    <t>James</t>
  </si>
  <si>
    <t>Kensington Parkwood Elementary</t>
  </si>
  <si>
    <t>4710 Saul Rd</t>
  </si>
  <si>
    <t>Kensington, MD 20895-4251</t>
  </si>
  <si>
    <t>D46E2FB2-9A35-43FE-8651-36CCAAF370A9</t>
  </si>
  <si>
    <t>Candace_M_Ross@mcpsmd.org</t>
  </si>
  <si>
    <t>Ross, Candace M.</t>
  </si>
  <si>
    <t>candace.m.ross@mcpsmd.net</t>
  </si>
  <si>
    <t>Ms  Candace Ros</t>
  </si>
  <si>
    <t>Ross</t>
  </si>
  <si>
    <t>Kingsview Middle</t>
  </si>
  <si>
    <t>18909 Kingsview Rd</t>
  </si>
  <si>
    <t>Germantown, MD 20874-1445</t>
  </si>
  <si>
    <t>C3FF966D-766B-4433-8CCA-903CA513E8F6</t>
  </si>
  <si>
    <t>Dyan_L_Harrison@mcpsmd.org</t>
  </si>
  <si>
    <t>Harrison, Dyan L.</t>
  </si>
  <si>
    <t>dyan.l.harrison@mcpsmd.net</t>
  </si>
  <si>
    <t>Mrs Dyan Harris</t>
  </si>
  <si>
    <t>Harrison</t>
  </si>
  <si>
    <t>Lake Seneca Elementary</t>
  </si>
  <si>
    <t>13600 Wanegarden Dr</t>
  </si>
  <si>
    <t>Germantown, MD 20874-1056</t>
  </si>
  <si>
    <t>C979E531-E978-4452-8A5F-0000D8C95987</t>
  </si>
  <si>
    <t>Teri_D_Johnson@mcpsmd.org</t>
  </si>
  <si>
    <t>Johnson, Teri D.</t>
  </si>
  <si>
    <t>teri.d.johnson@mcpsmd.net</t>
  </si>
  <si>
    <t>Ms  Teri Johnso</t>
  </si>
  <si>
    <t>Johnson</t>
  </si>
  <si>
    <t>Lakelands Park Middle</t>
  </si>
  <si>
    <t>1200 Main St</t>
  </si>
  <si>
    <t>Gaithersburg, MD 20878-5599</t>
  </si>
  <si>
    <t>277CF015-9A85-4354-B80A-0861CB402C60</t>
  </si>
  <si>
    <t>Rose_S_Alvarez@mcpsmd.org</t>
  </si>
  <si>
    <t>Alvarez, Rose S.</t>
  </si>
  <si>
    <t>rose.s.alvarez@mcpsmd.net</t>
  </si>
  <si>
    <t>Ms  Rose Alvare</t>
  </si>
  <si>
    <t>Alvarez</t>
  </si>
  <si>
    <t>Lakewood Elementary</t>
  </si>
  <si>
    <t>2534 Lindley Ter</t>
  </si>
  <si>
    <t>Rockville, MD 20850-3032</t>
  </si>
  <si>
    <t>08D731AB-FAAD-40FE-BA55-41D43F0A117A</t>
  </si>
  <si>
    <t>Ebony-Nicole_Kelly@mcpsmd.org</t>
  </si>
  <si>
    <t>Kelly, Ebony-Nicole</t>
  </si>
  <si>
    <t>ebony-nicole.kelly@mcpsmd.net</t>
  </si>
  <si>
    <t>Ms  Ebony-Nicol</t>
  </si>
  <si>
    <t>Kelly</t>
  </si>
  <si>
    <t>Laytonsville Elementary</t>
  </si>
  <si>
    <t>21401 Laytonsville Rd</t>
  </si>
  <si>
    <t>Gaithersburg, MD 20882-1623</t>
  </si>
  <si>
    <t>F7F25709-E618-4247-B52E-1A88B8B6D33F</t>
  </si>
  <si>
    <t>Maria_D_Watson@mcpsmd.org</t>
  </si>
  <si>
    <t>Watson, Maria D.</t>
  </si>
  <si>
    <t>maria.d.watson@mcpsmd.net</t>
  </si>
  <si>
    <t>Mrs Maria Watso</t>
  </si>
  <si>
    <t>Watson</t>
  </si>
  <si>
    <t>Little Bennett Elementary</t>
  </si>
  <si>
    <t>23930 Burdette Forest Rd</t>
  </si>
  <si>
    <t>Clarksburg, MD 20871-4420</t>
  </si>
  <si>
    <t>DBD9F9B2-763E-40BF-8BA0-73BBFF197D25</t>
  </si>
  <si>
    <t>Evan_H_Bernstein@mcpsmd.org</t>
  </si>
  <si>
    <t>Bernstein, Evan H.</t>
  </si>
  <si>
    <t>evan.h.bernstein@mcpsmd.net</t>
  </si>
  <si>
    <t>Mr  Evan Bernst</t>
  </si>
  <si>
    <t>Bernstein</t>
  </si>
  <si>
    <t>Lois P. Rockwell Elementary</t>
  </si>
  <si>
    <t>24555 Cutsail Dr</t>
  </si>
  <si>
    <t>Damascus, MD 20872-2152</t>
  </si>
  <si>
    <t>3BCC67B0-8654-4745-A620-9E96396F5E02</t>
  </si>
  <si>
    <t>Cheryl_Clark@mcpsmd.org</t>
  </si>
  <si>
    <t>Clark, Cheryl A.</t>
  </si>
  <si>
    <t>cheryl.clark@mcpsmd.net</t>
  </si>
  <si>
    <t>Mrs Cheryl Clar</t>
  </si>
  <si>
    <t>Clark</t>
  </si>
  <si>
    <t>Longview</t>
  </si>
  <si>
    <t>13900 Bromfield Rd</t>
  </si>
  <si>
    <t>Germantown, MD 20874-2293</t>
  </si>
  <si>
    <t>1619171F-0359-4FA8-8AD2-446B7968021D</t>
  </si>
  <si>
    <t>Sarah_C_Starr@mcpsmd.org</t>
  </si>
  <si>
    <t>Starr, Sarah C.</t>
  </si>
  <si>
    <t>sarah.c.starr@mcpsmd.net</t>
  </si>
  <si>
    <t>Principal Special Centers</t>
  </si>
  <si>
    <t>Mrs Sarah Starr</t>
  </si>
  <si>
    <t>Starr</t>
  </si>
  <si>
    <t>Lucy V. Barnsley Elementary</t>
  </si>
  <si>
    <t>14516 Nadine Dr</t>
  </si>
  <si>
    <t>Rockville, MD 20853-2363</t>
  </si>
  <si>
    <t>D8D89FB1-D444-471A-A111-09619596B1FE</t>
  </si>
  <si>
    <t>Christine_L_Troffkin@mcpsmd.org</t>
  </si>
  <si>
    <t>Troffkin, Christine L.</t>
  </si>
  <si>
    <t>christine.l.troffkin@mcpsmd.net</t>
  </si>
  <si>
    <t>Mrs Christine T</t>
  </si>
  <si>
    <t>Troffkin</t>
  </si>
  <si>
    <t>Luxmanor Elementary</t>
  </si>
  <si>
    <t>6201 Tilden Ln</t>
  </si>
  <si>
    <t>Rockville, MD 20852-3738</t>
  </si>
  <si>
    <t>80577B74-2EA9-4371-827B-1B75158FD3CD</t>
  </si>
  <si>
    <t>Maureen_C_Turner@mcpsmd.org</t>
  </si>
  <si>
    <t>Turner, Maureen C.</t>
  </si>
  <si>
    <t>maureen.c.turner@mcpsmd.net</t>
  </si>
  <si>
    <t>Mrs Maureen Tur</t>
  </si>
  <si>
    <t>Turner</t>
  </si>
  <si>
    <t>MacDonald Knolls Early Childhood Center</t>
  </si>
  <si>
    <t>10611 Tenbrook Dr</t>
  </si>
  <si>
    <t>Silver Spring, MD 20901</t>
  </si>
  <si>
    <t>7183D57F-8CDF-4D4E-B31E-39862321878C</t>
  </si>
  <si>
    <t>Cindy_A_Chichester-Ollivierre@mcpsmd.org</t>
  </si>
  <si>
    <t>Chichester-Ollivierre, Cindy A.</t>
  </si>
  <si>
    <t>cindy.a.chichester-ollivierre@mcpsmd.net</t>
  </si>
  <si>
    <t>Coordinator</t>
  </si>
  <si>
    <t>Ms  Cindy Chich</t>
  </si>
  <si>
    <t>Chichester-Ollivierre</t>
  </si>
  <si>
    <t>Mark Twain</t>
  </si>
  <si>
    <t>14501 AVERY Rd</t>
  </si>
  <si>
    <t>ROCKVILLE, MD 20853</t>
  </si>
  <si>
    <t>Maryvale Elementary</t>
  </si>
  <si>
    <t>1010 1st St</t>
  </si>
  <si>
    <t>Rockville, MD 20850-1450</t>
  </si>
  <si>
    <t>0AF68AC6-32AA-4052-B21A-912BABED4C7C</t>
  </si>
  <si>
    <t>Margaret_S_Prin@mcpsmd.org</t>
  </si>
  <si>
    <t>Prin, Margaret S.</t>
  </si>
  <si>
    <t>margaret.s.prin@mcpsmd.net</t>
  </si>
  <si>
    <t>Mrs Margaret Pr</t>
  </si>
  <si>
    <t>Prin</t>
  </si>
  <si>
    <t>MCPS Pre-K at Stephen Knolls</t>
  </si>
  <si>
    <t>10731st MARGARET S Way</t>
  </si>
  <si>
    <t>KENSINGTON, MD 20895</t>
  </si>
  <si>
    <t>MCPS Special Placements</t>
  </si>
  <si>
    <t>MCPS Transitions</t>
  </si>
  <si>
    <t>11721 Kemp Mill Rd</t>
  </si>
  <si>
    <t>12AFA406-239D-4621-9168-D49332415FF1</t>
  </si>
  <si>
    <t>Simone_A_Geness@mcpsmd.org</t>
  </si>
  <si>
    <t>Geness, Simone A.</t>
  </si>
  <si>
    <t>simone.a.geness@mcpsmd.net</t>
  </si>
  <si>
    <t>Supervisor</t>
  </si>
  <si>
    <t>Ms  Simone Gene</t>
  </si>
  <si>
    <t>Geness</t>
  </si>
  <si>
    <t>Meadow Hall Elementary</t>
  </si>
  <si>
    <t>951 Twinbrook Pkwy</t>
  </si>
  <si>
    <t>Rockville, MD 20851-1431</t>
  </si>
  <si>
    <t>0D0BA66E-44FF-4389-BA80-37D11828463D</t>
  </si>
  <si>
    <t>Cabell_W_Lloyd@mcpsmd.org</t>
  </si>
  <si>
    <t>Lloyd, Cabell W.</t>
  </si>
  <si>
    <t>cabell.w.lloyd@mcpsmd.net</t>
  </si>
  <si>
    <t>MCPS Temps/Subs</t>
  </si>
  <si>
    <t>Mr  Cabell Lloy</t>
  </si>
  <si>
    <t>Mill Creek Towne Elementary</t>
  </si>
  <si>
    <t>17700 Park Mill Dr</t>
  </si>
  <si>
    <t>Rockville, MD 20855-1134</t>
  </si>
  <si>
    <t>E87EB8A5-E360-4FE0-B5E0-6D24D3949216</t>
  </si>
  <si>
    <t>Robyn_A_Shinn-Miller@mcpsmd.org</t>
  </si>
  <si>
    <t>Shinn, Robyn A.</t>
  </si>
  <si>
    <t>robyn.a.shinn-miller@mcpsmd.net</t>
  </si>
  <si>
    <t>Ms  Robyn Shinn</t>
  </si>
  <si>
    <t>Shinn</t>
  </si>
  <si>
    <t>Monocacy Elementary</t>
  </si>
  <si>
    <t>18801 Barnesville Rd</t>
  </si>
  <si>
    <t>Dickerson, MD 20842-9738</t>
  </si>
  <si>
    <t>2B4D3DC0-6492-4E0C-9DEA-FD601E7EA4F3</t>
  </si>
  <si>
    <t>Kristin_A_Alban@mcpsmd.org</t>
  </si>
  <si>
    <t>Alban, Kristin A.</t>
  </si>
  <si>
    <t>kristin.a.alban@mcpsmd.net</t>
  </si>
  <si>
    <t>MissKristin Alb</t>
  </si>
  <si>
    <t>Alban</t>
  </si>
  <si>
    <t>Montgomery Blair High</t>
  </si>
  <si>
    <t>51 University Blvd E</t>
  </si>
  <si>
    <t>Silver Spring, MD 20901-2451</t>
  </si>
  <si>
    <t>9047DA04-3EAA-43FC-9411-82D099D603BE</t>
  </si>
  <si>
    <t>Renay_C_Johnson@mcpsmd.org</t>
  </si>
  <si>
    <t>Johnson, Renay C.</t>
  </si>
  <si>
    <t>renay.c.johnson@mcpsmd.net</t>
  </si>
  <si>
    <t>Mrs Renay Johns</t>
  </si>
  <si>
    <t>Montgomery Knolls Elementary</t>
  </si>
  <si>
    <t>807 Daleview Dr</t>
  </si>
  <si>
    <t>Silver Spring, MD 20901-3699</t>
  </si>
  <si>
    <t>71215173-3396-43C7-B29B-2C917F92C7DB</t>
  </si>
  <si>
    <t>Arienne_M_Clark-Harrison@mcpsmd.org</t>
  </si>
  <si>
    <t>Clark-Harrison, Arienne M.</t>
  </si>
  <si>
    <t>arienne.m.clark-harrison@mcpsmd.net</t>
  </si>
  <si>
    <t>Mrs Arienne Cla</t>
  </si>
  <si>
    <t>Clark-Harrison</t>
  </si>
  <si>
    <t>Montgomery Village Middle</t>
  </si>
  <si>
    <t>19300 Watkins Mill Rd</t>
  </si>
  <si>
    <t>Montgomery Village, MD 20886-6913</t>
  </si>
  <si>
    <t>A4B5D031-CCF9-4666-A049-0E41A8D57DC0</t>
  </si>
  <si>
    <t>Vincent_R_Liburd@mcpsmd.org</t>
  </si>
  <si>
    <t>Liburd, Vincent R.</t>
  </si>
  <si>
    <t>vincent.r.liburd@mcpsmd.net</t>
  </si>
  <si>
    <t>Mr  Vincent Lib</t>
  </si>
  <si>
    <t>Liburd</t>
  </si>
  <si>
    <t>Montgomery Virtual Academy Elementary</t>
  </si>
  <si>
    <t>5A806182-F319-41FE-AEC7-DD40BC4B2EA1</t>
  </si>
  <si>
    <t>Cassandra_Heifetz@mcpsmd.org</t>
  </si>
  <si>
    <t>Heifetz, Cassandra</t>
  </si>
  <si>
    <t>cassandra.heifetz@mcpsmd.net</t>
  </si>
  <si>
    <t>Director I</t>
  </si>
  <si>
    <t>Ms  Cassandra H</t>
  </si>
  <si>
    <t>Heifetz</t>
  </si>
  <si>
    <t>Montgomery Virtual Academy High</t>
  </si>
  <si>
    <t>Montgomery Virtual Academy Middle</t>
  </si>
  <si>
    <t>Neelsville Middle</t>
  </si>
  <si>
    <t>11700 Neelsville Church Rd</t>
  </si>
  <si>
    <t>Germantown, MD 20876-4140</t>
  </si>
  <si>
    <t>F66B8BA1-1951-48CE-AEF3-C45AFD63F9A8</t>
  </si>
  <si>
    <t>Barbara_M_Escobar@mcpsmd.org</t>
  </si>
  <si>
    <t>Escobar, Barbara M.</t>
  </si>
  <si>
    <t>barbara.m.escobar@mcpsmd.net</t>
  </si>
  <si>
    <t>Mrs Barbara Esc</t>
  </si>
  <si>
    <t>Escobar</t>
  </si>
  <si>
    <t>New Hampshire Estates Elementary</t>
  </si>
  <si>
    <t>8720 Carroll Ave</t>
  </si>
  <si>
    <t>Silver Spring, MD 20903-3149</t>
  </si>
  <si>
    <t>75AFF7A0-AF07-446C-9FE7-C0845592203E</t>
  </si>
  <si>
    <t>Robert_S_Geiger@mcpsmd.org</t>
  </si>
  <si>
    <t>Geiger, Robert S.</t>
  </si>
  <si>
    <t>robert.s.geiger@mcpsmd.net</t>
  </si>
  <si>
    <t>Mr  Robert Geig</t>
  </si>
  <si>
    <t>Geiger</t>
  </si>
  <si>
    <t>Newport Mill Middle</t>
  </si>
  <si>
    <t>11311 Newport Mill Rd</t>
  </si>
  <si>
    <t>Kensington, MD 20895-1419</t>
  </si>
  <si>
    <t>380981F2-B973-40C5-83B5-C27B1600C899</t>
  </si>
  <si>
    <t>Kiera_D_Butler@mcpsmd.org</t>
  </si>
  <si>
    <t>Butler, Kiera D.</t>
  </si>
  <si>
    <t>kiera.d.butler@mcpsmd.net</t>
  </si>
  <si>
    <t>Mrs Kiera Butle</t>
  </si>
  <si>
    <t>Butler</t>
  </si>
  <si>
    <t>North Bethesda Middle</t>
  </si>
  <si>
    <t>8935 Bradmoor Dr</t>
  </si>
  <si>
    <t>Bethesda, MD 20817-3470</t>
  </si>
  <si>
    <t>B193C516-4C46-4073-A243-0D1A402FB32F</t>
  </si>
  <si>
    <t>Annemarie_E_Smith@mcpsmd.org</t>
  </si>
  <si>
    <t>Smith, AnneMarie K.</t>
  </si>
  <si>
    <t>annemarie.e.smith@mcpsmd.net</t>
  </si>
  <si>
    <t>Dr  AnneMarie S</t>
  </si>
  <si>
    <t>North Chevy Chase Elementary</t>
  </si>
  <si>
    <t>3700 Jones Bridge Rd</t>
  </si>
  <si>
    <t>Chevy Chase, MD 20815-5727</t>
  </si>
  <si>
    <t>8E713593-89E9-41B3-9BCD-1A5CE0AD3AC8</t>
  </si>
  <si>
    <t>Renee_D_Wallace-Kimbrue@mcpsmd.org</t>
  </si>
  <si>
    <t>Wallace-Kimbrue, Renee D.</t>
  </si>
  <si>
    <t>renee.d.wallace-stevens@mcpsmd.net</t>
  </si>
  <si>
    <t>Mrs Renee Walla</t>
  </si>
  <si>
    <t>Wallace-Kimbrue</t>
  </si>
  <si>
    <t>Northwest High</t>
  </si>
  <si>
    <t>13501 Richter Farm Rd</t>
  </si>
  <si>
    <t>Germantown, MD 20874-3410</t>
  </si>
  <si>
    <t>913A1C56-EDE8-43EF-A907-D7403E645A06</t>
  </si>
  <si>
    <t>Scott_E_Smith@mcpsmd.org</t>
  </si>
  <si>
    <t>Smith, Scott E.</t>
  </si>
  <si>
    <t>scott.e.smith@mcpsmd.net</t>
  </si>
  <si>
    <t>Mr  Scott Smith</t>
  </si>
  <si>
    <t>Northwood High</t>
  </si>
  <si>
    <t>919 University Blvd W</t>
  </si>
  <si>
    <t>Silver Spring, MD 20901-1055</t>
  </si>
  <si>
    <t>42DA33EB-8EC6-46ED-B5D5-0AAE4D4FE7FE</t>
  </si>
  <si>
    <t>Jonathan_L_Garrick@mcpsmd.org</t>
  </si>
  <si>
    <t>Garrick, Jonathan L.</t>
  </si>
  <si>
    <t>jonathan.l.garrick@mcpsmd.net</t>
  </si>
  <si>
    <t>Dr  Jonathan Ga</t>
  </si>
  <si>
    <t>Garrick</t>
  </si>
  <si>
    <t>Oak View Elementary</t>
  </si>
  <si>
    <t>400 E Wayne Ave</t>
  </si>
  <si>
    <t>Silver Spring, MD 20901-3811</t>
  </si>
  <si>
    <t>8597347E-7AC2-46B7-9A51-2BCAA3D02D61</t>
  </si>
  <si>
    <t>Jeffrey_L_Cline@mcpsmd.org</t>
  </si>
  <si>
    <t>Cline, Jeffrey L.</t>
  </si>
  <si>
    <t>jeffrey.l.cline@mcpsmd.net</t>
  </si>
  <si>
    <t>Mr  Jeffrey Cli</t>
  </si>
  <si>
    <t>Cline</t>
  </si>
  <si>
    <t>Oakland Terrace Elementary</t>
  </si>
  <si>
    <t>2720 Plyers Mill Rd</t>
  </si>
  <si>
    <t>Silver Spring, MD 20902-4208</t>
  </si>
  <si>
    <t>6E172E8B-216D-4AFA-81C8-6DD3C03746B3</t>
  </si>
  <si>
    <t>Elissa_M_Royall@mcpsmd.org</t>
  </si>
  <si>
    <t>Royall, Elissa M.</t>
  </si>
  <si>
    <t>elissa.m.royall@mcpsmd.net</t>
  </si>
  <si>
    <t>Mrs Elissa Roya</t>
  </si>
  <si>
    <t>Royall</t>
  </si>
  <si>
    <t>Odessa Shannon Middle</t>
  </si>
  <si>
    <t>11800 Monticello Ave</t>
  </si>
  <si>
    <t>Silver Spring, MD 20902-1714</t>
  </si>
  <si>
    <t>69340001-1D7B-414D-8C23-F97B6E197DF2</t>
  </si>
  <si>
    <t>Kimberly_N_HaydenWilliams@mcpsmd.org</t>
  </si>
  <si>
    <t>Hayden Williams, Kimberly N.</t>
  </si>
  <si>
    <t>kimberly.n.haydenwilliams@mcpsmd.net</t>
  </si>
  <si>
    <t>Mrs Kimberly Ha</t>
  </si>
  <si>
    <t>Hayden Williams</t>
  </si>
  <si>
    <t>Olney Elementary</t>
  </si>
  <si>
    <t>3401 Queen Mary Dr</t>
  </si>
  <si>
    <t>Olney, MD 20832-2204</t>
  </si>
  <si>
    <t>2A8F80E2-ABE2-4B0B-8611-890F5D9DEC83</t>
  </si>
  <si>
    <t>Carla_Glawe@mcpsmd.org</t>
  </si>
  <si>
    <t>Glawe, Carla</t>
  </si>
  <si>
    <t>carla.glawe@mcpsmd.net</t>
  </si>
  <si>
    <t>Mrs Carla Glawe</t>
  </si>
  <si>
    <t>Glawe</t>
  </si>
  <si>
    <t>Paint Branch High</t>
  </si>
  <si>
    <t>14121 Old Columbia Pike</t>
  </si>
  <si>
    <t>Burtonsville, MD 20866-1721</t>
  </si>
  <si>
    <t>9BB25A55-9A33-4CF4-A3B2-9CB277003CBC</t>
  </si>
  <si>
    <t>Afie_A_Mirshah-nayar@mcpsmd.org</t>
  </si>
  <si>
    <t>Mirshah-nayar, Afie A.</t>
  </si>
  <si>
    <t>afie.a.mirshah-nayar@mcpsmd.net</t>
  </si>
  <si>
    <t>Ms  Afsaneh Mir</t>
  </si>
  <si>
    <t>Mirshah-nayar</t>
  </si>
  <si>
    <t>Parkland Middle</t>
  </si>
  <si>
    <t>4610 W Frankfort Dr</t>
  </si>
  <si>
    <t>Rockville, MD 20853-2721</t>
  </si>
  <si>
    <t>5FCE48BC-4E26-4365-AC8B-D472A0AD93B7</t>
  </si>
  <si>
    <t>Aaron_K_Shin@mcpsmd.org</t>
  </si>
  <si>
    <t>Shin, Aaron</t>
  </si>
  <si>
    <t>aaron.k.shin@mcpsmd.net</t>
  </si>
  <si>
    <t>Mr  Aaron Shin</t>
  </si>
  <si>
    <t>Shin</t>
  </si>
  <si>
    <t>PEP-Itinerant</t>
  </si>
  <si>
    <t>Pine Crest Elementary</t>
  </si>
  <si>
    <t>201 Woodmoor Dr</t>
  </si>
  <si>
    <t>Silver Spring, MD 20901-2517</t>
  </si>
  <si>
    <t>FC248111-DD06-4BB8-AF01-2745B8E5D5D2</t>
  </si>
  <si>
    <t>Jamila_W_Denney@mcpsmd.org</t>
  </si>
  <si>
    <t>Denney, Jamila W.</t>
  </si>
  <si>
    <t>jamila.w.denney@mcpsmd.net</t>
  </si>
  <si>
    <t>Mrs Jamila Denn</t>
  </si>
  <si>
    <t>Denney</t>
  </si>
  <si>
    <t>Piney Branch Elementary</t>
  </si>
  <si>
    <t>7510 Maple Ave</t>
  </si>
  <si>
    <t>Takoma Park, MD 20912-4939</t>
  </si>
  <si>
    <t>224FF880-7BEC-42E7-8E9C-2E12D908B64F</t>
  </si>
  <si>
    <t>Christine_D_Oberdorf@mcpsmd.org</t>
  </si>
  <si>
    <t>Oberdorf, Christine D.</t>
  </si>
  <si>
    <t>christine.d.oberdorf@mcpsmd.net</t>
  </si>
  <si>
    <t>Mrs Christine O</t>
  </si>
  <si>
    <t>Oberdorf</t>
  </si>
  <si>
    <t>Poolesville Elementary</t>
  </si>
  <si>
    <t>19565 Fisher Ave</t>
  </si>
  <si>
    <t>Poolesville, MD 20837-3007</t>
  </si>
  <si>
    <t>A322F50D-C1AF-4EEC-8CDF-67FFF48B3462</t>
  </si>
  <si>
    <t>Douglas_M_Robbins@mcpsmd.org</t>
  </si>
  <si>
    <t>Robbins, Douglas M.</t>
  </si>
  <si>
    <t>douglas.m.robbins@mcpsmd.net</t>
  </si>
  <si>
    <t>Mr  Douglas Rob</t>
  </si>
  <si>
    <t>Robbins</t>
  </si>
  <si>
    <t>Poolesville High</t>
  </si>
  <si>
    <t>17501 W Willard Rd</t>
  </si>
  <si>
    <t>Poolesville, MD 20837-2006</t>
  </si>
  <si>
    <t>2927E071-A454-4F96-8048-394AC96F2903</t>
  </si>
  <si>
    <t>Mark_A_Carothers@mcpsmd.org</t>
  </si>
  <si>
    <t>Carothers, Mark A.</t>
  </si>
  <si>
    <t>mark.a.carothers@mcpsmd.net</t>
  </si>
  <si>
    <t>Mr  Mark Caroth</t>
  </si>
  <si>
    <t>Carothers</t>
  </si>
  <si>
    <t>Potomac Elementary</t>
  </si>
  <si>
    <t>10311 River Rd</t>
  </si>
  <si>
    <t>Potomac, MD 20854-4913</t>
  </si>
  <si>
    <t>FF1EEDCD-6B4D-4394-A6F1-609C6F6CCC99</t>
  </si>
  <si>
    <t>Catherine_R_Allie@mcpsmd.org</t>
  </si>
  <si>
    <t>Allie, Catherine R.</t>
  </si>
  <si>
    <t>catherine.r.allie@mcpsmd.net</t>
  </si>
  <si>
    <t>Dr  Catherine A</t>
  </si>
  <si>
    <t>Allie</t>
  </si>
  <si>
    <t>PreKindergarten/Head Start</t>
  </si>
  <si>
    <t>Preschool Education Program (PEP)</t>
  </si>
  <si>
    <t>Quince Orchard High</t>
  </si>
  <si>
    <t>15800 Quince Orchard Rd</t>
  </si>
  <si>
    <t>Gaithersburg, MD 20878-3481</t>
  </si>
  <si>
    <t>EA69C6D9-0290-45E6-954E-CAEC8E057CDF</t>
  </si>
  <si>
    <t>Elizabeth_L_Thomas@mcpsmd.org</t>
  </si>
  <si>
    <t>Thomas, Elizabeth L.</t>
  </si>
  <si>
    <t>elizabeth.l.thomas@mcpsmd.net</t>
  </si>
  <si>
    <t>Mrs Elizabeth T</t>
  </si>
  <si>
    <t>Rachel Carson Elementary</t>
  </si>
  <si>
    <t>100 Tschiffely Square Rd</t>
  </si>
  <si>
    <t>Gaithersburg, MD 20878-5630</t>
  </si>
  <si>
    <t>1511ECEC-4A12-4409-A0B1-6A1ACF6DD04D</t>
  </si>
  <si>
    <t>Mindy_D_Reeves@mcpsmd.org</t>
  </si>
  <si>
    <t>Reeves, Mindy D.</t>
  </si>
  <si>
    <t>mindy.d.tringone@mcpsmd.net</t>
  </si>
  <si>
    <t>Ms  Mindy Tring</t>
  </si>
  <si>
    <t>Reeves</t>
  </si>
  <si>
    <t>Redland Middle</t>
  </si>
  <si>
    <t>6505 Muncaster Mill Rd</t>
  </si>
  <si>
    <t>Rockville, MD 20855-1539</t>
  </si>
  <si>
    <t>748C3A21-78D4-41B9-B9E8-57400DA431F7</t>
  </si>
  <si>
    <t>Matthew_T_Niper@mcpsmd.org</t>
  </si>
  <si>
    <t>Niper, Matthew T.</t>
  </si>
  <si>
    <t>matthew.t.niper@mcpsmd.net</t>
  </si>
  <si>
    <t>Mr  Matthew Nip</t>
  </si>
  <si>
    <t>Niper</t>
  </si>
  <si>
    <t>Regional Inst For Child/Adol</t>
  </si>
  <si>
    <t>15000 Broschart Rd</t>
  </si>
  <si>
    <t>Rockville, MD 20850-3303</t>
  </si>
  <si>
    <t>7935CD3D-17EA-4ED1-BB9B-ECA7A8ECF69C</t>
  </si>
  <si>
    <t>Jada_Langston@mcpsmd.org</t>
  </si>
  <si>
    <t>Langston, Jada</t>
  </si>
  <si>
    <t>jada.langston@mcpsmd.net</t>
  </si>
  <si>
    <t>Principal RICA</t>
  </si>
  <si>
    <t>Langston</t>
  </si>
  <si>
    <t>Richard Montgomery High</t>
  </si>
  <si>
    <t>250 Richard Montgomery Dr</t>
  </si>
  <si>
    <t>Rockville, MD 20852-1147</t>
  </si>
  <si>
    <t>3FDF7BCD-2479-4B51-818D-E48F8753CCAC</t>
  </si>
  <si>
    <t>Alicia_M_Deeny@mcpsmd.org</t>
  </si>
  <si>
    <t>Deeny, Alicia M.</t>
  </si>
  <si>
    <t>alicia.m.deeny@mcpsmd.net</t>
  </si>
  <si>
    <t>Ms  Alicia Deen</t>
  </si>
  <si>
    <t>Deeny</t>
  </si>
  <si>
    <t>Ridgeview Middle</t>
  </si>
  <si>
    <t>16600 Raven Rock Dr</t>
  </si>
  <si>
    <t>Gaithersburg, MD 20878-2054</t>
  </si>
  <si>
    <t>EABD16DD-F2F9-4767-89B5-6900FBA23AE4</t>
  </si>
  <si>
    <t>Daniel_E_Garcia@mcpsmd.org</t>
  </si>
  <si>
    <t>Garcia, Daniel E.</t>
  </si>
  <si>
    <t>daniel.e.garcia@mcpsmd.net</t>
  </si>
  <si>
    <t>Mr  Daniel Garc</t>
  </si>
  <si>
    <t>Garcia</t>
  </si>
  <si>
    <t>Ritchie Park Elementary</t>
  </si>
  <si>
    <t>1514 Dunster Rd</t>
  </si>
  <si>
    <t>Rockville, MD 20854-6114</t>
  </si>
  <si>
    <t>9C94FC7A-C4FA-49A7-A29A-3AD3B34D9550</t>
  </si>
  <si>
    <t>Andrew_J_Winter@mcpsmd.org</t>
  </si>
  <si>
    <t>Winter, Andrew J.</t>
  </si>
  <si>
    <t>andrew.j.winter@mcpsmd.net</t>
  </si>
  <si>
    <t>Mr  Andrew Wint</t>
  </si>
  <si>
    <t>Winter</t>
  </si>
  <si>
    <t>Robert Frost Middle</t>
  </si>
  <si>
    <t>9201 Scott Dr</t>
  </si>
  <si>
    <t>Rockville, MD 20850-3441</t>
  </si>
  <si>
    <t>4A380F42-4E74-4906-9E1C-72B74E24DCC2</t>
  </si>
  <si>
    <t>Joey_N_Jones@mcpsmd.org</t>
  </si>
  <si>
    <t>Jones, Joey N.</t>
  </si>
  <si>
    <t>joey.n.jones@mcpsmd.net</t>
  </si>
  <si>
    <t>Dr  Joey Jones</t>
  </si>
  <si>
    <t>Roberto W Clemente Middle</t>
  </si>
  <si>
    <t>18808 Waring Station Rd</t>
  </si>
  <si>
    <t>Germantown, MD 20874-1920</t>
  </si>
  <si>
    <t>38139DED-B17C-4B33-8BE6-01BB5FA3FD72</t>
  </si>
  <si>
    <t>Jeffrey_T_Brown@mcpsmd.org</t>
  </si>
  <si>
    <t>Brown, Jeffrey T.</t>
  </si>
  <si>
    <t>jeffrey.t.brown@mcpsmd.net</t>
  </si>
  <si>
    <t>Mr  Jeffrey Bro</t>
  </si>
  <si>
    <t>Rock Creek Forest Elementary</t>
  </si>
  <si>
    <t>8330 Grubb Rd</t>
  </si>
  <si>
    <t>Chevy Chase, MD 20815-3021</t>
  </si>
  <si>
    <t>206AA955-3179-4887-8942-EB2B72AEB65E</t>
  </si>
  <si>
    <t>Jennifer_H_Lowndes@mcpsmd.org</t>
  </si>
  <si>
    <t>Lowndes, Jennifer H.</t>
  </si>
  <si>
    <t>jennifer.h.lowndes@mcpsmd.net</t>
  </si>
  <si>
    <t>Ms  Jennifer Lo</t>
  </si>
  <si>
    <t>Lowndes</t>
  </si>
  <si>
    <t>Rock Creek Valley Elementary</t>
  </si>
  <si>
    <t>5121 Russett Rd</t>
  </si>
  <si>
    <t>Rockville, MD 20853-2550</t>
  </si>
  <si>
    <t>B283DB36-3690-4DBD-A04A-C6921749E820</t>
  </si>
  <si>
    <t>Kimberly_Henriquez@mcpsmd.org</t>
  </si>
  <si>
    <t>Henriquez, Kimberly A.</t>
  </si>
  <si>
    <t>kimberly.henriquez@mcpsmd.net</t>
  </si>
  <si>
    <t>Ms  Kimberly He</t>
  </si>
  <si>
    <t>Henriquez</t>
  </si>
  <si>
    <t>Rock Terrace School</t>
  </si>
  <si>
    <t>11400 Marcliff Rd</t>
  </si>
  <si>
    <t>Rockville, MD 20852-1856</t>
  </si>
  <si>
    <t>20F75532-AF5F-4CE5-8AFF-41483D0D25E4</t>
  </si>
  <si>
    <t>Lisa_M_Gaillard-Jones@mcpsmd.org</t>
  </si>
  <si>
    <t>Gaillard-Jones, Lisa M.</t>
  </si>
  <si>
    <t>lisa.m.gaillard-jones@mcpsmd.net</t>
  </si>
  <si>
    <t>Principal Rock Terrace</t>
  </si>
  <si>
    <t>Dr  Lisa Gailla</t>
  </si>
  <si>
    <t>Gaillard-Jones</t>
  </si>
  <si>
    <t>Rock View Elementary</t>
  </si>
  <si>
    <t>3901 Denfeld Ave</t>
  </si>
  <si>
    <t>Kensington, MD 20895-1510</t>
  </si>
  <si>
    <t>5EDDA79A-BEDE-4250-82C3-BB184D4B168F</t>
  </si>
  <si>
    <t>Kristine_A_Alexander@mcpsmd.org</t>
  </si>
  <si>
    <t>Alexander, Kristine A.</t>
  </si>
  <si>
    <t>kristine.a.alexander@mcpsmd.net</t>
  </si>
  <si>
    <t>Ms  Kristine Al</t>
  </si>
  <si>
    <t>Alexander</t>
  </si>
  <si>
    <t>Rockville High</t>
  </si>
  <si>
    <t>2100 Baltimore Rd</t>
  </si>
  <si>
    <t>Rockville, MD 20851-1229</t>
  </si>
  <si>
    <t>37C6F75B-F53D-4BA7-A70D-109A4D28105C</t>
  </si>
  <si>
    <t>Rhoshanda_M_Pyles@mcpsmd.org</t>
  </si>
  <si>
    <t>Pyles, Rhoshanda M.</t>
  </si>
  <si>
    <t>rhoshanda.m.pyles@mcpsmd.net</t>
  </si>
  <si>
    <t>Ms  Rhoshanda P</t>
  </si>
  <si>
    <t>Pyles</t>
  </si>
  <si>
    <t>Rocky Hill Middle</t>
  </si>
  <si>
    <t>22401 Brick Haven Way</t>
  </si>
  <si>
    <t>Clarksburg, MD 20871-4012</t>
  </si>
  <si>
    <t>EB151AD9-78D1-4FE6-9533-FE65018FC96C</t>
  </si>
  <si>
    <t>Darryl_V_Johnson@mcpsmd.org</t>
  </si>
  <si>
    <t>Johnson, Darryl V.</t>
  </si>
  <si>
    <t>darryl.v.johnson@mcpsmd.net</t>
  </si>
  <si>
    <t>Mr  Darryl John</t>
  </si>
  <si>
    <t>Rolling Terrace Elementary</t>
  </si>
  <si>
    <t>705 Bayfield St</t>
  </si>
  <si>
    <t>Takoma Park, MD 20912-7307</t>
  </si>
  <si>
    <t>3E13119A-74CD-4165-B03C-989E71FC4777</t>
  </si>
  <si>
    <t>Jessica_V_Palladino@mcpsmd.org</t>
  </si>
  <si>
    <t>Palladino, Jessica V.</t>
  </si>
  <si>
    <t>jessica.v.palladino@mcpsmd.net</t>
  </si>
  <si>
    <t>Dr  Jessica Pal</t>
  </si>
  <si>
    <t>Palladino</t>
  </si>
  <si>
    <t>Ronald McNair Elementary</t>
  </si>
  <si>
    <t>13881 Hopkins Rd</t>
  </si>
  <si>
    <t>Germantown, MD 20874-6111</t>
  </si>
  <si>
    <t>15C7F676-BB84-4172-BC71-84747D4181FD</t>
  </si>
  <si>
    <t>Sherilyn_R_Moses@mcpsmd.org</t>
  </si>
  <si>
    <t>Moses, Sherilyn R.</t>
  </si>
  <si>
    <t>sherilyn.r.moses@mcpsmd.net</t>
  </si>
  <si>
    <t>Mrs Sherilyn Mo</t>
  </si>
  <si>
    <t>Moses</t>
  </si>
  <si>
    <t>Rosa Parks Middle</t>
  </si>
  <si>
    <t>19200 Olney Mill Rd</t>
  </si>
  <si>
    <t>Olney, MD 20832-1263</t>
  </si>
  <si>
    <t>CD4EE5BA-49DF-4042-BE6B-8213FE736FEB</t>
  </si>
  <si>
    <t>Jewel_A_Sanders@mcpsmd.org</t>
  </si>
  <si>
    <t>Sanders, Jewel A.</t>
  </si>
  <si>
    <t>jewel.a.sanders@mcpsmd.net</t>
  </si>
  <si>
    <t>Mrs Jewel Sande</t>
  </si>
  <si>
    <t>Sanders</t>
  </si>
  <si>
    <t>Roscoe R. Nix Elementary</t>
  </si>
  <si>
    <t>1100 Corliss St</t>
  </si>
  <si>
    <t>Silver Spring, MD 20903-1803</t>
  </si>
  <si>
    <t>E12D5517-C8BA-4D46-9E62-E74DAFC8E300</t>
  </si>
  <si>
    <t>Annette_M_Ffolkes@mcpsmd.org</t>
  </si>
  <si>
    <t>Ffolkes, Annette M.</t>
  </si>
  <si>
    <t>annette.m.ffolkes@mcpsmd.net</t>
  </si>
  <si>
    <t>Ms  Annette Ffo</t>
  </si>
  <si>
    <t>Ffolkes</t>
  </si>
  <si>
    <t>Rosemary Hills Elementary</t>
  </si>
  <si>
    <t>2111 Porter Rd</t>
  </si>
  <si>
    <t>Silver Spring, MD 20910-5010</t>
  </si>
  <si>
    <t>FD046B1E-A447-4E5B-8FCF-DA67FCC2A15F</t>
  </si>
  <si>
    <t>Rebecca_A_IrwinKennedy@mcpsmd.org</t>
  </si>
  <si>
    <t>Irwin Kennedy, Rebecca A.</t>
  </si>
  <si>
    <t>rebecca.a.irwinkennedy@mcpsmd.net</t>
  </si>
  <si>
    <t>Ms  Rebecca Irw</t>
  </si>
  <si>
    <t>Irwin Kennedy</t>
  </si>
  <si>
    <t>Rosemont Elementary</t>
  </si>
  <si>
    <t>16400 Alden Ave</t>
  </si>
  <si>
    <t>Gaithersburg, MD 20877-1508</t>
  </si>
  <si>
    <t>65DDBCA8-76E9-4695-ADA7-8BB2E77A12E0</t>
  </si>
  <si>
    <t>Keely_R_Cooke@mcpsmd.org</t>
  </si>
  <si>
    <t>Cooke, Keely R.</t>
  </si>
  <si>
    <t>keely.r.cooke@mcpsmd.net</t>
  </si>
  <si>
    <t>Mrs Keely Cooke</t>
  </si>
  <si>
    <t>Cooke</t>
  </si>
  <si>
    <t>S. Christa McAuliffe Elementary</t>
  </si>
  <si>
    <t>12500 Wisteria Dr</t>
  </si>
  <si>
    <t>Germantown, MD 20874-5338</t>
  </si>
  <si>
    <t>2EEF55E3-5A69-4413-9681-CADF08582128</t>
  </si>
  <si>
    <t>Wanda_P_Coates@mcpsmd.org</t>
  </si>
  <si>
    <t>Coates, Wanda P.</t>
  </si>
  <si>
    <t>wanda.p.coates@mcpsmd.net</t>
  </si>
  <si>
    <t>Mrs Wanda Coate</t>
  </si>
  <si>
    <t>Coates</t>
  </si>
  <si>
    <t>Sargent Shriver Elementary</t>
  </si>
  <si>
    <t>12518 Greenly St</t>
  </si>
  <si>
    <t>Silver Spring, MD 20906-4420</t>
  </si>
  <si>
    <t>ED76BD7E-67FA-4A30-A624-6C021126DEAB</t>
  </si>
  <si>
    <t>Zoraida_E_Brown@mcpsmd.org</t>
  </si>
  <si>
    <t>Brown, Zoraida E.</t>
  </si>
  <si>
    <t>zoraida.e.brown@mcpsmd.net</t>
  </si>
  <si>
    <t>Mrs Zoraida Bro</t>
  </si>
  <si>
    <t>Seneca Valley High</t>
  </si>
  <si>
    <t>19401 Crystal Rock Dr</t>
  </si>
  <si>
    <t>Germantown, MD 20874-1593</t>
  </si>
  <si>
    <t>73434EF3-9BBF-4FD4-A895-ADC957243B6B</t>
  </si>
  <si>
    <t>Marc_J_Cohen@mcpsmd.org</t>
  </si>
  <si>
    <t>Cohen, Marc J.</t>
  </si>
  <si>
    <t>marc.j.cohen@mcpsmd.net</t>
  </si>
  <si>
    <t>Dr  Marc Cohen</t>
  </si>
  <si>
    <t>Cohen</t>
  </si>
  <si>
    <t>Sequoyah Elementary</t>
  </si>
  <si>
    <t>17301 Bowie Mill Rd</t>
  </si>
  <si>
    <t>Derwood, MD 20855-1671</t>
  </si>
  <si>
    <t>69225403-FBAB-4E33-8D65-F31213EF7A1D</t>
  </si>
  <si>
    <t>Megan_H_Murphy@mcpsmd.org</t>
  </si>
  <si>
    <t>Murphy, Megan H.</t>
  </si>
  <si>
    <t>megan.h.murphy@mcpsmd.net</t>
  </si>
  <si>
    <t>Mrs Megan Murph</t>
  </si>
  <si>
    <t>Murphy</t>
  </si>
  <si>
    <t>Seven Locks Elementary</t>
  </si>
  <si>
    <t>9500 Seven Locks Rd</t>
  </si>
  <si>
    <t>FE0D3A4B-BDBD-430B-B25F-F67E6D50D454</t>
  </si>
  <si>
    <t>Ilana_S_Carr@mcpsmd.org</t>
  </si>
  <si>
    <t>Carr, Ilana S.</t>
  </si>
  <si>
    <t>ilana.s.carr@mcpsmd.net</t>
  </si>
  <si>
    <t>MissIlana Carr</t>
  </si>
  <si>
    <t>Carr</t>
  </si>
  <si>
    <t>Shady Grove Middle</t>
  </si>
  <si>
    <t>8100 Midcounty Hwy</t>
  </si>
  <si>
    <t>Gaithersburg, MD 20877-5100</t>
  </si>
  <si>
    <t>8CEF2D95-E25B-4D27-AE37-F3C8C4D838B7</t>
  </si>
  <si>
    <t>Alana_D_Murray@mcpsmd.org</t>
  </si>
  <si>
    <t>Murray, Alana D.</t>
  </si>
  <si>
    <t>alana.d.murray@mcpsmd.net</t>
  </si>
  <si>
    <t>Ms  Alana Murra</t>
  </si>
  <si>
    <t>Murray</t>
  </si>
  <si>
    <t>Sherwood Elementary</t>
  </si>
  <si>
    <t>1401 Olney-Sandy Spring Rd</t>
  </si>
  <si>
    <t>Sandy Spring, MD 20860-1328</t>
  </si>
  <si>
    <t>9E2C2D42-4929-4ECD-BC05-8D6088FF85B1</t>
  </si>
  <si>
    <t>Dina_E_Brewer@mcpsmd.org</t>
  </si>
  <si>
    <t>Brewer, Dina E.</t>
  </si>
  <si>
    <t>dina.e.brewer@mcpsmd.net</t>
  </si>
  <si>
    <t>Mrs Dina Brewer</t>
  </si>
  <si>
    <t>Brewer</t>
  </si>
  <si>
    <t>Sherwood High</t>
  </si>
  <si>
    <t>300 Olney-Sandy Spring Rd</t>
  </si>
  <si>
    <t>Sandy Spring, MD 20860-1005</t>
  </si>
  <si>
    <t>F34A4CFC-1696-4FBD-8568-AE53EA68A9EA</t>
  </si>
  <si>
    <t>Timothy_D_Britton@mcpsmd.org</t>
  </si>
  <si>
    <t>Britton, Timothy D.</t>
  </si>
  <si>
    <t>timothy.d.britton@mcpsmd.net</t>
  </si>
  <si>
    <t>Mr  Timothy Bri</t>
  </si>
  <si>
    <t>Britton</t>
  </si>
  <si>
    <t>Silver Creek Middle</t>
  </si>
  <si>
    <t>3701 Saul Rd</t>
  </si>
  <si>
    <t>Kensington, MD 20895</t>
  </si>
  <si>
    <t>550AAAF2-3A56-4899-AB50-15C000487239</t>
  </si>
  <si>
    <t>Tiffany_N_Awkard@mcpsmd.org</t>
  </si>
  <si>
    <t>Awkard, Tiffany N.</t>
  </si>
  <si>
    <t>tiffany.n.awkard@mcpsmd.net</t>
  </si>
  <si>
    <t>Dr  Tiffany Awk</t>
  </si>
  <si>
    <t>Awkard</t>
  </si>
  <si>
    <t>Silver Spring International Middle</t>
  </si>
  <si>
    <t>313 Wayne Ave</t>
  </si>
  <si>
    <t>Silver Spring, MD 20910-5500</t>
  </si>
  <si>
    <t>A64F4573-D2C0-4471-99DE-483422B7842E</t>
  </si>
  <si>
    <t>Karen_Y_Bryant@mcpsmd.org</t>
  </si>
  <si>
    <t>Bryant, Karen Y.</t>
  </si>
  <si>
    <t>karen.y.bryant@mcpsmd.net</t>
  </si>
  <si>
    <t>Ms  Karen Bryan</t>
  </si>
  <si>
    <t>Bryant</t>
  </si>
  <si>
    <t>Sligo Creek Elementary</t>
  </si>
  <si>
    <t>500 Schuyler Rd</t>
  </si>
  <si>
    <t>Silver Spring, MD 20910-4272</t>
  </si>
  <si>
    <t>29ADC511-C092-404E-B9F3-8E3D59CEBC9D</t>
  </si>
  <si>
    <t>Stephanie_W_Nesmith@mcpsmd.org</t>
  </si>
  <si>
    <t>Nesmith, Stephanie W.</t>
  </si>
  <si>
    <t>stephanie.w.nesmith@mcpsmd.net</t>
  </si>
  <si>
    <t>Mrs Stephanie N</t>
  </si>
  <si>
    <t>Nesmith</t>
  </si>
  <si>
    <t>Sligo Middle</t>
  </si>
  <si>
    <t>1401 Dennis Ave</t>
  </si>
  <si>
    <t>Silver Spring, MD 20902-3827</t>
  </si>
  <si>
    <t>BA2F2E69-603C-4071-8C3D-E9B4F4AE16F0</t>
  </si>
  <si>
    <t>Peter_V_Crable@mcpsmd.org</t>
  </si>
  <si>
    <t>Crable, Peter V.</t>
  </si>
  <si>
    <t>peter.v.crable@mcpsmd.net</t>
  </si>
  <si>
    <t>Mr  Peter Crabl</t>
  </si>
  <si>
    <t>Crable</t>
  </si>
  <si>
    <t>Snowden Farm Elementary</t>
  </si>
  <si>
    <t>22500 Sweetspire Dr</t>
  </si>
  <si>
    <t>2856C260-C821-4135-B694-CE08D9539835</t>
  </si>
  <si>
    <t>Yolanda_R_Allen@mcpsmd.org</t>
  </si>
  <si>
    <t>Allen, Yolanda R.</t>
  </si>
  <si>
    <t>yolanda.r.allen@mcpsmd.net</t>
  </si>
  <si>
    <t>Mrs Yolanda All</t>
  </si>
  <si>
    <t>Allen</t>
  </si>
  <si>
    <t>Somerset Elementary</t>
  </si>
  <si>
    <t>5811 Warwick Pl</t>
  </si>
  <si>
    <t>Chevy Chase, MD 20815-5410</t>
  </si>
  <si>
    <t>C0B83907-AF1D-4D5F-ACEC-2082F6FC2A82</t>
  </si>
  <si>
    <t>Cynthia_A_Houston@mcpsmd.org</t>
  </si>
  <si>
    <t>Houston, Cynthia A.</t>
  </si>
  <si>
    <t>cynthia.a.houston@mcpsmd.net</t>
  </si>
  <si>
    <t>Mrs Cynthia Hou</t>
  </si>
  <si>
    <t>Houston</t>
  </si>
  <si>
    <t>South Lake Elementary</t>
  </si>
  <si>
    <t>18201 Contour Rd</t>
  </si>
  <si>
    <t>Gaithersburg, MD 20877-2601</t>
  </si>
  <si>
    <t>86F83C75-7D41-4C79-B13A-B5EE509605BD</t>
  </si>
  <si>
    <t>Celeste_King@mcpsmd.org</t>
  </si>
  <si>
    <t>King, Celeste D.</t>
  </si>
  <si>
    <t>celeste.king@mcpsmd.net</t>
  </si>
  <si>
    <t>Ms  Celeste Kin</t>
  </si>
  <si>
    <t>King</t>
  </si>
  <si>
    <t>Spark M. Matsunaga Elementary</t>
  </si>
  <si>
    <t>13902 Bromfield Rd</t>
  </si>
  <si>
    <t>3295F21C-5090-4F0D-B9DF-33CA9AECE110</t>
  </si>
  <si>
    <t>Jimmy_Sweeney@mcpsmd.org</t>
  </si>
  <si>
    <t>Sweeney, James A.</t>
  </si>
  <si>
    <t>jimmy.sweeney@mcpsmd.net</t>
  </si>
  <si>
    <t>Mr  James Sween</t>
  </si>
  <si>
    <t>Sweeney</t>
  </si>
  <si>
    <t>Springbrook High</t>
  </si>
  <si>
    <t>201 Valley Brook Dr</t>
  </si>
  <si>
    <t>Silver Spring, MD 20904-2946</t>
  </si>
  <si>
    <t>1735F6F5-3E29-4FF1-A2A3-98E6DEB1C967</t>
  </si>
  <si>
    <t>Stephanie_Z_Valentine@mcpsmd.org</t>
  </si>
  <si>
    <t>Valentine, Stephanie P.</t>
  </si>
  <si>
    <t>stephanie.z.valentine@mcpsmd.net</t>
  </si>
  <si>
    <t>Mrs Stephanie V</t>
  </si>
  <si>
    <t>Valentine</t>
  </si>
  <si>
    <t>Stedwick Elementary</t>
  </si>
  <si>
    <t>10631 Stedwick Rd</t>
  </si>
  <si>
    <t>Gaithersburg, MD 20886-6915</t>
  </si>
  <si>
    <t>51EA0064-04A2-4DFB-A630-2EC7301F7209</t>
  </si>
  <si>
    <t>Galit_Zolkower@mcpsmd.org</t>
  </si>
  <si>
    <t>Zolkower, Galit</t>
  </si>
  <si>
    <t>galit.zolkower@mcpsmd.net</t>
  </si>
  <si>
    <t>Ms  Galit Zolko</t>
  </si>
  <si>
    <t>Zolkower</t>
  </si>
  <si>
    <t>Stephen Knolls</t>
  </si>
  <si>
    <t>10731 St Margarets Way</t>
  </si>
  <si>
    <t>Kensington, MD 20895-2831</t>
  </si>
  <si>
    <t>2E5B711C-73C3-49D2-8966-0B81AC4E0DD2</t>
  </si>
  <si>
    <t>Abby_L_Brandt@mcpsmd.org</t>
  </si>
  <si>
    <t>Brandt, Abby L.</t>
  </si>
  <si>
    <t>Brandt</t>
  </si>
  <si>
    <t>Stone Mill Elementary</t>
  </si>
  <si>
    <t>14323 Stonebridge View Dr</t>
  </si>
  <si>
    <t>North Potomac, MD 20878-4811</t>
  </si>
  <si>
    <t>D8B374EA-CBA6-4FD9-9CAD-76D8303FCC63</t>
  </si>
  <si>
    <t>Kimberly_A_Williams@mcpsmd.org</t>
  </si>
  <si>
    <t>Williams Cascio, Kimberly A.</t>
  </si>
  <si>
    <t>kimberly.a.williams@mcpsmd.net</t>
  </si>
  <si>
    <t>Dr  Kimberly Wi</t>
  </si>
  <si>
    <t>Williams Cascio</t>
  </si>
  <si>
    <t>Stonegate Elementary</t>
  </si>
  <si>
    <t>14811 Notley Rd</t>
  </si>
  <si>
    <t>Silver Spring, MD 20905-5837</t>
  </si>
  <si>
    <t>D1EA68CE-6DE8-4520-B655-D92AFBCA5194</t>
  </si>
  <si>
    <t>Linda_M_Jones@mcpsmd.org</t>
  </si>
  <si>
    <t>Jones, Linda M.</t>
  </si>
  <si>
    <t>linda.m.jones@mcpsmd.net</t>
  </si>
  <si>
    <t>Ms  Linda Jones</t>
  </si>
  <si>
    <t>Strathmore Elementary</t>
  </si>
  <si>
    <t>3200 Beaverwood Ln</t>
  </si>
  <si>
    <t>Silver Spring, MD 20906-3015</t>
  </si>
  <si>
    <t>B7CA399F-1F70-49CC-A7AE-B5C983E9E4A7</t>
  </si>
  <si>
    <t>Tivinia_G_Nelson@mcpsmd.org</t>
  </si>
  <si>
    <t>Nelson, Tivinia G.</t>
  </si>
  <si>
    <t>tivinia.g.nelson@mcpsmd.net</t>
  </si>
  <si>
    <t>Ms  Tivinia Nel</t>
  </si>
  <si>
    <t>Nelson</t>
  </si>
  <si>
    <t>Strawberry Knoll Elementary</t>
  </si>
  <si>
    <t>18820 Strawberry Knoll Rd</t>
  </si>
  <si>
    <t>Gaithersburg, MD 20879-1700</t>
  </si>
  <si>
    <t>6873300F-2F15-4628-BD27-42F7C49B1E0F</t>
  </si>
  <si>
    <t>Patrick_E_Scott@mcpsmd.org</t>
  </si>
  <si>
    <t>Scott, Patrick E.</t>
  </si>
  <si>
    <t>patrick.e.scott@mcpsmd.net</t>
  </si>
  <si>
    <t>Mr  Patrick Sco</t>
  </si>
  <si>
    <t>Scott</t>
  </si>
  <si>
    <t>Student Online Learning</t>
  </si>
  <si>
    <t>Summit Hall Elementary</t>
  </si>
  <si>
    <t>101 W Deer Park Rd</t>
  </si>
  <si>
    <t>Gaithersburg, MD 20877-1850</t>
  </si>
  <si>
    <t>6F63ADB4-92BD-486E-8C32-C516D1CA087E</t>
  </si>
  <si>
    <t>Lisa_J_Henry@mcpsmd.org</t>
  </si>
  <si>
    <t>Henry, Lisa J.</t>
  </si>
  <si>
    <t>lisa.j.henry@mcpsmd.net</t>
  </si>
  <si>
    <t>Mrs Lisa Henry</t>
  </si>
  <si>
    <t>Henry</t>
  </si>
  <si>
    <t>Takoma Park Elementary</t>
  </si>
  <si>
    <t>7511 Holly Ave</t>
  </si>
  <si>
    <t>Takoma Park, MD 20912-4217</t>
  </si>
  <si>
    <t>808CD9D1-4945-4E22-BCF9-7EBDC0C63555</t>
  </si>
  <si>
    <t>Zadia_T_Gadsden@mcpsmd.org</t>
  </si>
  <si>
    <t>Gadsden, Zadia T.</t>
  </si>
  <si>
    <t>zadia.t.gadsden@mcpsmd.net</t>
  </si>
  <si>
    <t>Dr  Zadia Gadsd</t>
  </si>
  <si>
    <t>Gadsden</t>
  </si>
  <si>
    <t>Takoma Park Middle</t>
  </si>
  <si>
    <t>7611 Piney Branch Rd</t>
  </si>
  <si>
    <t>Silver Spring, MD 20910-5102</t>
  </si>
  <si>
    <t>20A4CDE1-0989-4241-8EA3-BB9E433C1205</t>
  </si>
  <si>
    <t>Erin_L_Martin@mcpsmd.org</t>
  </si>
  <si>
    <t>Martin, Erin L.</t>
  </si>
  <si>
    <t>erin.l.martin@mcpsmd.net</t>
  </si>
  <si>
    <t>Mrs Erin Martin</t>
  </si>
  <si>
    <t>Martin</t>
  </si>
  <si>
    <t>Thomas Edison High School of Technology</t>
  </si>
  <si>
    <t>12501 Dalewood Dr</t>
  </si>
  <si>
    <t>Silver Spring, MD 20906-4100</t>
  </si>
  <si>
    <t>CF39285C-F46B-4DB4-95A7-7D49BD3AA584</t>
  </si>
  <si>
    <t>Heather_B_Carias@mcpsmd.org</t>
  </si>
  <si>
    <t>Carias, Heather B.</t>
  </si>
  <si>
    <t>heather.b.carias@mcpsmd.net</t>
  </si>
  <si>
    <t>Supervisor Edison Tech Schl</t>
  </si>
  <si>
    <t>Ms  Heather Car</t>
  </si>
  <si>
    <t>Carias</t>
  </si>
  <si>
    <t>Thomas S. Wootton High</t>
  </si>
  <si>
    <t>2100 Wootton Pkwy</t>
  </si>
  <si>
    <t>Rockville, MD 20850-3037</t>
  </si>
  <si>
    <t>E8AF5A42-78EA-466B-909F-E64FF53D3F6E</t>
  </si>
  <si>
    <t>Douglas_E_Nelson@mcpsmd.org</t>
  </si>
  <si>
    <t>Nelson, Douglas E.</t>
  </si>
  <si>
    <t>douglas.e.nelson@mcpsmd.net</t>
  </si>
  <si>
    <t>Mr  Douglas Nel</t>
  </si>
  <si>
    <t>Thomas W. Pyle Middle</t>
  </si>
  <si>
    <t>6311 Wilson Ln</t>
  </si>
  <si>
    <t>Bethesda, MD 20817-5533</t>
  </si>
  <si>
    <t>336C505A-669F-4F7B-8E9D-60A15A30E647</t>
  </si>
  <si>
    <t>Christopher_B_Nardi@mcpsmd.org</t>
  </si>
  <si>
    <t>Nardi, Christopher B.</t>
  </si>
  <si>
    <t>christopher.b.nardi@mcpsmd.net</t>
  </si>
  <si>
    <t>Nardi</t>
  </si>
  <si>
    <t>Thurgood Marshall Elementary</t>
  </si>
  <si>
    <t>12260 McDonald Chapel Dr</t>
  </si>
  <si>
    <t>Gaithersburg, MD 20878-2257</t>
  </si>
  <si>
    <t>FBAB4F43-E4CD-4AF8-A7F8-B870A1A8CC88</t>
  </si>
  <si>
    <t>Pamela_S_Nazzaro@mcpsmd.org</t>
  </si>
  <si>
    <t>Nazzaro, Pamela S.</t>
  </si>
  <si>
    <t>pamela.s.nazzaro@mcpsmd.net</t>
  </si>
  <si>
    <t>Mrs Pamela Nazz</t>
  </si>
  <si>
    <t>Nazzaro</t>
  </si>
  <si>
    <t>Tilden Middle</t>
  </si>
  <si>
    <t>6300 Tilden Ln</t>
  </si>
  <si>
    <t>Rockville, MD 20852-3201</t>
  </si>
  <si>
    <t>35EEAFFF-DB7A-4D39-B639-BC98CDC1F4DF</t>
  </si>
  <si>
    <t>Sapna_Hopkins@mcpsmd.org</t>
  </si>
  <si>
    <t>Hopkins, Sapna</t>
  </si>
  <si>
    <t>sapna.hopkins@mcpsmd.net</t>
  </si>
  <si>
    <t>Ms  Sapna Hopki</t>
  </si>
  <si>
    <t>Hopkins</t>
  </si>
  <si>
    <t>Travilah Elementary</t>
  </si>
  <si>
    <t>13801 DuFief Mill Rd</t>
  </si>
  <si>
    <t>Gaithersburg, MD 20878-3844</t>
  </si>
  <si>
    <t>B2E6E777-A394-490E-B6C7-E9DFD4B13320</t>
  </si>
  <si>
    <t>Karin_M_Wade@mcpsmd.org</t>
  </si>
  <si>
    <t>Wade, Karin M.</t>
  </si>
  <si>
    <t>karin.m.wade@mcpsmd.net</t>
  </si>
  <si>
    <t>Dr  Karin Wade</t>
  </si>
  <si>
    <t>Wade</t>
  </si>
  <si>
    <t>Twinbrook Elementary</t>
  </si>
  <si>
    <t>5911 Ridgway Ave</t>
  </si>
  <si>
    <t>Rockville, MD 20851-1931</t>
  </si>
  <si>
    <t>D60DC612-6D5D-4B2E-9697-852D3EBF777E</t>
  </si>
  <si>
    <t>Matthew_A_Devan@mcpsmd.org</t>
  </si>
  <si>
    <t>Devan, Matthew A.</t>
  </si>
  <si>
    <t>matthew.a.devan@mcpsmd.net</t>
  </si>
  <si>
    <t>Mr  Matthew Dev</t>
  </si>
  <si>
    <t>Devan</t>
  </si>
  <si>
    <t>Up County Early Childhood Center</t>
  </si>
  <si>
    <t>18100 Washington Grove Ln</t>
  </si>
  <si>
    <t>Viers Mill Elementary</t>
  </si>
  <si>
    <t>11711 Joseph Mill Rd</t>
  </si>
  <si>
    <t>Silver Spring, MD 20906-4868</t>
  </si>
  <si>
    <t>8FDB8C98-6354-48F4-ADC3-0692F0429F2F</t>
  </si>
  <si>
    <t>Matthew_D_Hawkins@mcpsmd.org</t>
  </si>
  <si>
    <t>Hawkins, Matthew D.</t>
  </si>
  <si>
    <t>matthew.d.hawkins@mcpsmd.net</t>
  </si>
  <si>
    <t>Mr  Matthew Haw</t>
  </si>
  <si>
    <t>Hawkins</t>
  </si>
  <si>
    <t>Walt Whitman High</t>
  </si>
  <si>
    <t>7100 Whittier Blvd</t>
  </si>
  <si>
    <t>Bethesda, MD 20817-6170</t>
  </si>
  <si>
    <t>8D1C08C9-8E49-4FEF-B083-582656F0CCB9</t>
  </si>
  <si>
    <t>Robert_W_Dodd@mcpsmd.org</t>
  </si>
  <si>
    <t>Dodd, Robert W.</t>
  </si>
  <si>
    <t>robert.w.dodd@mcpsmd.net</t>
  </si>
  <si>
    <t>Mr  Robert Dodd</t>
  </si>
  <si>
    <t>Dodd</t>
  </si>
  <si>
    <t>Walter Johnson High</t>
  </si>
  <si>
    <t>6400 Rock Spring Dr</t>
  </si>
  <si>
    <t>Bethesda, MD 20814-1913</t>
  </si>
  <si>
    <t>5294D1B5-BCB6-4120-9874-01622825C793</t>
  </si>
  <si>
    <t>Jennifer_A_Baker@mcpsmd.org</t>
  </si>
  <si>
    <t>Baker, Jennifer A.</t>
  </si>
  <si>
    <t>jennifer.a.baker@mcpsmd.net</t>
  </si>
  <si>
    <t>Mrs Jennifer Ba</t>
  </si>
  <si>
    <t>Baker</t>
  </si>
  <si>
    <t>Washington Grove Elementary</t>
  </si>
  <si>
    <t>8712 Oakmont St</t>
  </si>
  <si>
    <t>Gaithersburg, MD 20877-1236</t>
  </si>
  <si>
    <t>A216D199-8AFA-40FC-8A4E-F18F0A5A4632</t>
  </si>
  <si>
    <t>Amy_J_Alonso@mcpsmd.org</t>
  </si>
  <si>
    <t>Alonso, Amy J.</t>
  </si>
  <si>
    <t>amy.j.alonso@mcpsmd.net</t>
  </si>
  <si>
    <t>Dr  Amy Alonso</t>
  </si>
  <si>
    <t>Alonso</t>
  </si>
  <si>
    <t>Waters Landing Elementary</t>
  </si>
  <si>
    <t>13100 Waters Landing Dr</t>
  </si>
  <si>
    <t>Germantown, MD 20874-3800</t>
  </si>
  <si>
    <t>90C34B64-83C9-4668-92E3-35702A2E9687</t>
  </si>
  <si>
    <t>MDeneise_Hammond@mcpsmd.org</t>
  </si>
  <si>
    <t>Hammond, M Deneise</t>
  </si>
  <si>
    <t>mdeneise.hammond@mcpsmd.net</t>
  </si>
  <si>
    <t>Mrs M Deneise H</t>
  </si>
  <si>
    <t>Hammond</t>
  </si>
  <si>
    <t>Watkins Mill Elementary</t>
  </si>
  <si>
    <t>19001 Watkins Mill Rd</t>
  </si>
  <si>
    <t>Montgomery Village, MD 20886-6910</t>
  </si>
  <si>
    <t>CF8743D5-4363-4536-BAB7-E1A07351DA3A</t>
  </si>
  <si>
    <t>Brooke_L_Simon@mcpsmd.org</t>
  </si>
  <si>
    <t>Simon, Brooke L.</t>
  </si>
  <si>
    <t>brooke.l.simon@mcpsmd.net</t>
  </si>
  <si>
    <t>Mrs Brooke Simo</t>
  </si>
  <si>
    <t>Simon</t>
  </si>
  <si>
    <t>Watkins Mill High</t>
  </si>
  <si>
    <t>10301 Apple Ridge Rd</t>
  </si>
  <si>
    <t>Gaithersburg, MD 20879</t>
  </si>
  <si>
    <t>5908DEDC-7951-40C9-949F-C840EF19B87E</t>
  </si>
  <si>
    <t>Carol_L_Goddard@mcpsmd.org</t>
  </si>
  <si>
    <t>Goddard, Carol L.</t>
  </si>
  <si>
    <t>carol.l.goddard@mcpsmd.net</t>
  </si>
  <si>
    <t>Ms  Carol Godda</t>
  </si>
  <si>
    <t>Goddard</t>
  </si>
  <si>
    <t>Wayside Elementary</t>
  </si>
  <si>
    <t>10011 Glen Rd</t>
  </si>
  <si>
    <t>Potomac, MD 20854-1830</t>
  </si>
  <si>
    <t>3D2E71CB-7CE2-4389-9001-A000CD323D80</t>
  </si>
  <si>
    <t>Holly_A_Hill@mcpsmd.org</t>
  </si>
  <si>
    <t>Hill, Holly A.</t>
  </si>
  <si>
    <t>holly.a.hill@mcpsmd.net</t>
  </si>
  <si>
    <t>Ms  Holly Hill</t>
  </si>
  <si>
    <t>Hill</t>
  </si>
  <si>
    <t>Weller Road Elementary</t>
  </si>
  <si>
    <t>3301 Weller Rd</t>
  </si>
  <si>
    <t>9858C8E5-9A37-44C5-AE04-13181FE52362</t>
  </si>
  <si>
    <t>Brent_T_Mascott@mcpsmd.org</t>
  </si>
  <si>
    <t>Mascott, Brent T.</t>
  </si>
  <si>
    <t>brent.t.mascott@mcpsmd.net</t>
  </si>
  <si>
    <t>Mr  Brent Masco</t>
  </si>
  <si>
    <t>Mascott</t>
  </si>
  <si>
    <t>Westbrook Elementary</t>
  </si>
  <si>
    <t>5110 Allan Ter</t>
  </si>
  <si>
    <t>Bethesda, MD 20816-1612</t>
  </si>
  <si>
    <t>6D1B544A-C8E1-4208-8C59-A47CF869431C</t>
  </si>
  <si>
    <t>Karen_M_Cox@mcpsmd.org</t>
  </si>
  <si>
    <t>Cox, Karen M.</t>
  </si>
  <si>
    <t>karen.m.cox@mcpsmd.net</t>
  </si>
  <si>
    <t>Mrs Karen Cox</t>
  </si>
  <si>
    <t>Cox</t>
  </si>
  <si>
    <t>Westland Middle</t>
  </si>
  <si>
    <t>5511 Massachusetts Ave</t>
  </si>
  <si>
    <t>Bethesda, MD 20816-1932</t>
  </si>
  <si>
    <t>3B170EC3-0EB3-42D1-95E1-7B30188C5B78</t>
  </si>
  <si>
    <t>Alison_L_Serino@mcpsmd.org</t>
  </si>
  <si>
    <t>Serino, Alison L.</t>
  </si>
  <si>
    <t>alison.l.serino@mcpsmd.net</t>
  </si>
  <si>
    <t>Ms  Alison Seri</t>
  </si>
  <si>
    <t>Serino</t>
  </si>
  <si>
    <t>Westover Elementary</t>
  </si>
  <si>
    <t>401 Hawkesbury Ln</t>
  </si>
  <si>
    <t>Silver Spring, MD 20904-6305</t>
  </si>
  <si>
    <t>18242294-0AAB-4D59-A1FD-270F017A6089</t>
  </si>
  <si>
    <t>Audra_M_Wilson@mcpsmd.org</t>
  </si>
  <si>
    <t>Wilson, Audra M.</t>
  </si>
  <si>
    <t>audra.m.wilson@mcpsmd.net</t>
  </si>
  <si>
    <t>Mrs Audra Wilso</t>
  </si>
  <si>
    <t>Wilson</t>
  </si>
  <si>
    <t>Wheaton High</t>
  </si>
  <si>
    <t>12401 Dalewood Dr</t>
  </si>
  <si>
    <t>Silver Spring, MD 20906-4114</t>
  </si>
  <si>
    <t>39BA0CC2-5A70-44BC-AD58-A5A2FE3E44E5</t>
  </si>
  <si>
    <t>Joshua_H_Munsey@mcpsmd.org</t>
  </si>
  <si>
    <t>Munsey, Joshua H.</t>
  </si>
  <si>
    <t>joshua.h.munsey@mcpsmd.net</t>
  </si>
  <si>
    <t>Mr  Joshua Muns</t>
  </si>
  <si>
    <t>Munsey</t>
  </si>
  <si>
    <t>Wheaton Woods Elementary</t>
  </si>
  <si>
    <t>4510 Faroe Pl</t>
  </si>
  <si>
    <t>Rockville, MD 20853-3004</t>
  </si>
  <si>
    <t>3BD5EC6B-5EF9-4321-9476-1B70575C30FB</t>
  </si>
  <si>
    <t>Nora_E_Collins@mcpsmd.org</t>
  </si>
  <si>
    <t>Collins, Nora E.</t>
  </si>
  <si>
    <t>nora.e.collins@mcpsmd.net</t>
  </si>
  <si>
    <t>MissNora Collin</t>
  </si>
  <si>
    <t>Collins</t>
  </si>
  <si>
    <t>Whetstone Elementary</t>
  </si>
  <si>
    <t>19201 Thomas Farm Rd</t>
  </si>
  <si>
    <t>Gaithersburg, MD 20879-5000</t>
  </si>
  <si>
    <t>C18472FD-F86E-40D9-9722-2354B082D80F</t>
  </si>
  <si>
    <t>Loretta_A_Woods@mcpsmd.org</t>
  </si>
  <si>
    <t>Woods, Loretta A.</t>
  </si>
  <si>
    <t>loretta.a.woods@mcpsmd.net</t>
  </si>
  <si>
    <t>Mrs Loretta Woo</t>
  </si>
  <si>
    <t>Woods</t>
  </si>
  <si>
    <t>White Oak Middle</t>
  </si>
  <si>
    <t>12201 New Hampshire Ave</t>
  </si>
  <si>
    <t>Silver Spring, MD 20904-2870</t>
  </si>
  <si>
    <t>82187F76-104E-43B0-B48E-B85F084808FA</t>
  </si>
  <si>
    <t>Virginia_A_DeLosSantos@mcpsmd.org</t>
  </si>
  <si>
    <t>de los Santos, Virginia A.</t>
  </si>
  <si>
    <t>virginia.a.delossantos@mcpsmd.net</t>
  </si>
  <si>
    <t>Ms  Virginia de</t>
  </si>
  <si>
    <t>de los Santos</t>
  </si>
  <si>
    <t>William B. Gibbs Jr. Elementary</t>
  </si>
  <si>
    <t>12615 Royal Crown Dr</t>
  </si>
  <si>
    <t>Germantown, MD 20876-3929</t>
  </si>
  <si>
    <t>0FF9AE1B-928D-4B72-BC36-223DDD47594D</t>
  </si>
  <si>
    <t>Kimberly_B_Bosnic@mcpsmd.org</t>
  </si>
  <si>
    <t>Bosnic, Kimberly B.</t>
  </si>
  <si>
    <t>kimberly.b.bosnic@mcpsmd.net</t>
  </si>
  <si>
    <t>Mrs Kimberly Bo</t>
  </si>
  <si>
    <t>Bosnic</t>
  </si>
  <si>
    <t>William H. Farquhar Middle</t>
  </si>
  <si>
    <t>17017 Batchellors Forest Rd</t>
  </si>
  <si>
    <t>Olney, MD 20832-2706</t>
  </si>
  <si>
    <t>10469F8D-9641-4EB0-9DCD-7B2288A37B1E</t>
  </si>
  <si>
    <t>Joel_L_Beidleman@mcpsmd.org</t>
  </si>
  <si>
    <t>Beidleman, Joel L.</t>
  </si>
  <si>
    <t>joel.l.beidleman@mcpsmd.net</t>
  </si>
  <si>
    <t>Mr  Joel Beidle</t>
  </si>
  <si>
    <t>Beidleman</t>
  </si>
  <si>
    <t>William Tyler Page Elementary</t>
  </si>
  <si>
    <t>13400 Tamarack Rd</t>
  </si>
  <si>
    <t>Silver Spring, MD 20904-1467</t>
  </si>
  <si>
    <t>9248325D-34DF-4BF0-BFD5-7B9F63654D9A</t>
  </si>
  <si>
    <t>Stacey_M_Brown@mcpsmd.org</t>
  </si>
  <si>
    <t>Brown, Stacey M.</t>
  </si>
  <si>
    <t>stacey.m.brown@mcpsmd.net</t>
  </si>
  <si>
    <t>Ms  Stacey Brow</t>
  </si>
  <si>
    <t>Wilson Wims Elementary</t>
  </si>
  <si>
    <t>12520 Blue Sky Dr</t>
  </si>
  <si>
    <t>D7D04564-AFCF-4AC5-9490-CF6B40391B8B</t>
  </si>
  <si>
    <t>Kevin_M_Burns@mcpsmd.org</t>
  </si>
  <si>
    <t>Burns, Kevin M.</t>
  </si>
  <si>
    <t>kevin.m.burns@mcpsmd.net</t>
  </si>
  <si>
    <t>Mr  Kevin Burns</t>
  </si>
  <si>
    <t>Burns</t>
  </si>
  <si>
    <t>Winston Churchill High</t>
  </si>
  <si>
    <t>11300 Gainsborough Rd</t>
  </si>
  <si>
    <t>Potomac, MD 20854-3700</t>
  </si>
  <si>
    <t>44E8F1DB-4B9F-40FD-8A09-1D6D91F1D338</t>
  </si>
  <si>
    <t>John_Taylor@mcpsmd.org</t>
  </si>
  <si>
    <t>Taylor, John W.</t>
  </si>
  <si>
    <t>john.taylor@mcpsmd.net</t>
  </si>
  <si>
    <t>Mr  John Taylor</t>
  </si>
  <si>
    <t>Taylor</t>
  </si>
  <si>
    <t>Wood Acres Elementary</t>
  </si>
  <si>
    <t>5800 Cromwell Dr</t>
  </si>
  <si>
    <t>Bethesda, MD 20816</t>
  </si>
  <si>
    <t>C06D46F2-87A7-4ADE-BACB-56226DED0000</t>
  </si>
  <si>
    <t>Sweta_Zaks@mcpsmd.org</t>
  </si>
  <si>
    <t>Zaks, Sweta</t>
  </si>
  <si>
    <t>sweta.zaks@mcpsmd.net</t>
  </si>
  <si>
    <t>Dr  Sweta Zaks</t>
  </si>
  <si>
    <t>Zaks</t>
  </si>
  <si>
    <t>Woodfield Elementary</t>
  </si>
  <si>
    <t>24200 Woodfield Rd</t>
  </si>
  <si>
    <t>Gaithersburg, MD 20882-3936</t>
  </si>
  <si>
    <t>0D98DB4E-16D1-43AA-A24D-DDAF5279F2DD</t>
  </si>
  <si>
    <t>Stephanie_D_Brant@mcpsmd.org</t>
  </si>
  <si>
    <t>Brant, Stephanie D.</t>
  </si>
  <si>
    <t>stephanie.d.brant@mcpsmd.net</t>
  </si>
  <si>
    <t>Mrs Stephanie B</t>
  </si>
  <si>
    <t>Brant</t>
  </si>
  <si>
    <t>Woodlin Elementary</t>
  </si>
  <si>
    <t>2101 Luzerne Ave</t>
  </si>
  <si>
    <t>Silver Spring, MD 20910-2136</t>
  </si>
  <si>
    <t>FBC83F3A-F647-41AC-A302-7DB0478B5771</t>
  </si>
  <si>
    <t>Craig_O_Jackson@mcpsmd.org</t>
  </si>
  <si>
    <t>Jackson, Craig O.</t>
  </si>
  <si>
    <t>craig.o.jackson@mcpsmd.net</t>
  </si>
  <si>
    <t>Mr  Craig Jacks</t>
  </si>
  <si>
    <t>Jackson</t>
  </si>
  <si>
    <t>Wyngate Elementary</t>
  </si>
  <si>
    <t>9300 Wadsworth Dr</t>
  </si>
  <si>
    <t>Bethesda, MD 20817-2414</t>
  </si>
  <si>
    <t>84D94722-A890-4D43-B794-6A8B89EE7626</t>
  </si>
  <si>
    <t>Nichola_A_Wallen@mcpsmd.org</t>
  </si>
  <si>
    <t>Wallen, Nichola A.</t>
  </si>
  <si>
    <t>nichola.a.wallen@mcpsmd.net</t>
  </si>
  <si>
    <t>Ms  Nichola Wal</t>
  </si>
  <si>
    <t>Wallen</t>
  </si>
  <si>
    <t>Karzai, Ms. Halima</t>
  </si>
  <si>
    <t>halima_karzai@mcpsmd.org</t>
  </si>
  <si>
    <t>Samantha_J_Martinez@mcpsmd.org</t>
  </si>
  <si>
    <t>Martinez, Ms. Samantha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</si>
</sst>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sz val="10"/>
      <name val="Arial"/>
    </font>
    <font>
      <sz val="10"/>
      <color rgb="FF9900FF"/>
      <name val="Arial"/>
    </font>
    <font>
      <sz val="10"/>
      <color rgb="FFFF9900"/>
      <name val="Arial"/>
    </font>
    <font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b/>
      <u/>
      <sz val="10"/>
      <color rgb="FF0000FF"/>
      <name val="Arial"/>
    </font>
    <font>
      <b/>
      <sz val="10"/>
      <color rgb="FF434343"/>
      <name val="Arial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color rgb="FFFF9900"/>
      <name val="Arial"/>
    </font>
    <font>
      <sz val="10"/>
      <color rgb="FFFF0000"/>
      <name val="Arial"/>
    </font>
    <font>
      <sz val="10"/>
      <color rgb="FFFF9900"/>
      <name val="Arial"/>
    </font>
    <font>
      <sz val="11"/>
      <color rgb="FF000000"/>
      <name val="Calibri"/>
    </font>
    <font>
      <sz val="14"/>
      <color rgb="FF000000"/>
      <name val="Garamond"/>
    </font>
    <font>
      <sz val="10"/>
      <color rgb="FF000000"/>
      <name val="Thread-000015c0-Id-00000000"/>
    </font>
    <font>
      <sz val="10"/>
      <color rgb="FF000000"/>
      <name val="Roboto"/>
    </font>
    <font>
      <b/>
      <i/>
      <sz val="12"/>
      <color rgb="FFFF9900"/>
      <name val="Arial"/>
    </font>
    <font>
      <sz val="10"/>
      <color rgb="FF434343"/>
      <name val="Arial"/>
    </font>
    <font>
      <sz val="10"/>
      <color rgb="FFF3F3F3"/>
      <name val="Arial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0E0E3"/>
        <bgColor rgb="FFD0E0E3"/>
      </patternFill>
    </fill>
    <fill>
      <patternFill patternType="solid">
        <fgColor rgb="FF1155CC"/>
        <bgColor rgb="FF1155CC"/>
      </patternFill>
    </fill>
    <fill>
      <patternFill patternType="solid">
        <fgColor rgb="FF9FC5E8"/>
        <bgColor rgb="FF9FC5E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03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7" fillId="0" borderId="0" xfId="0" applyFont="1"/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3" borderId="2" xfId="0" applyFont="1" applyFill="1" applyBorder="1" applyAlignment="1">
      <alignment horizontal="left"/>
    </xf>
    <xf numFmtId="0" fontId="0" fillId="0" borderId="2" xfId="0" applyFont="1" applyBorder="1" applyAlignment="1"/>
    <xf numFmtId="0" fontId="4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7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0" borderId="0" xfId="0" applyFont="1" applyAlignment="1"/>
    <xf numFmtId="0" fontId="14" fillId="0" borderId="0" xfId="0" applyFont="1" applyAlignment="1"/>
    <xf numFmtId="0" fontId="15" fillId="0" borderId="2" xfId="0" applyFont="1" applyBorder="1"/>
    <xf numFmtId="0" fontId="15" fillId="0" borderId="3" xfId="0" applyFont="1" applyBorder="1" applyAlignment="1"/>
    <xf numFmtId="0" fontId="7" fillId="0" borderId="2" xfId="0" applyFont="1" applyBorder="1" applyAlignment="1"/>
    <xf numFmtId="0" fontId="14" fillId="0" borderId="1" xfId="0" applyFont="1" applyBorder="1" applyAlignment="1"/>
    <xf numFmtId="0" fontId="7" fillId="0" borderId="2" xfId="0" applyFont="1" applyBorder="1" applyAlignment="1">
      <alignment wrapText="1"/>
    </xf>
    <xf numFmtId="0" fontId="14" fillId="3" borderId="0" xfId="0" applyFont="1" applyFill="1" applyAlignment="1"/>
    <xf numFmtId="0" fontId="15" fillId="0" borderId="0" xfId="0" applyFont="1"/>
    <xf numFmtId="0" fontId="7" fillId="0" borderId="3" xfId="0" applyFont="1" applyBorder="1" applyAlignment="1"/>
    <xf numFmtId="0" fontId="14" fillId="3" borderId="0" xfId="0" applyFont="1" applyFill="1" applyAlignment="1"/>
    <xf numFmtId="0" fontId="7" fillId="0" borderId="0" xfId="0" applyFont="1" applyAlignment="1"/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/>
    <xf numFmtId="0" fontId="14" fillId="0" borderId="0" xfId="0" applyFont="1" applyAlignment="1"/>
    <xf numFmtId="0" fontId="14" fillId="0" borderId="0" xfId="0" applyFont="1" applyAlignment="1"/>
    <xf numFmtId="0" fontId="14" fillId="0" borderId="1" xfId="0" applyFont="1" applyBorder="1" applyAlignment="1"/>
    <xf numFmtId="0" fontId="16" fillId="0" borderId="2" xfId="0" applyFont="1" applyBorder="1"/>
    <xf numFmtId="0" fontId="17" fillId="0" borderId="0" xfId="0" applyFont="1" applyAlignment="1"/>
    <xf numFmtId="0" fontId="14" fillId="0" borderId="0" xfId="0" applyFont="1" applyAlignment="1"/>
    <xf numFmtId="0" fontId="7" fillId="0" borderId="0" xfId="0" applyFont="1" applyAlignment="1">
      <alignment wrapText="1"/>
    </xf>
    <xf numFmtId="0" fontId="18" fillId="0" borderId="0" xfId="0" applyFont="1" applyAlignment="1"/>
    <xf numFmtId="0" fontId="13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4" fillId="3" borderId="2" xfId="0" applyFont="1" applyFill="1" applyBorder="1" applyAlignment="1">
      <alignment horizontal="left"/>
    </xf>
    <xf numFmtId="0" fontId="19" fillId="0" borderId="0" xfId="0" applyFont="1" applyAlignment="1"/>
    <xf numFmtId="0" fontId="7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7" fillId="0" borderId="1" xfId="0" applyFont="1" applyBorder="1" applyAlignment="1"/>
    <xf numFmtId="0" fontId="14" fillId="0" borderId="1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14" fillId="0" borderId="0" xfId="0" applyFont="1" applyAlignment="1">
      <alignment horizontal="left"/>
    </xf>
    <xf numFmtId="0" fontId="14" fillId="0" borderId="1" xfId="0" applyFont="1" applyBorder="1" applyAlignment="1">
      <alignment horizontal="left"/>
    </xf>
    <xf numFmtId="0" fontId="21" fillId="0" borderId="2" xfId="0" applyFont="1" applyBorder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13" fillId="2" borderId="0" xfId="0" applyFont="1" applyFill="1" applyAlignment="1"/>
    <xf numFmtId="0" fontId="16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2" fillId="0" borderId="0" xfId="0" applyFont="1" applyAlignment="1"/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4" fillId="5" borderId="0" xfId="0" applyFont="1" applyFill="1" applyAlignment="1"/>
    <xf numFmtId="0" fontId="13" fillId="6" borderId="0" xfId="0" applyFont="1" applyFill="1" applyAlignment="1">
      <alignment wrapText="1"/>
    </xf>
    <xf numFmtId="0" fontId="13" fillId="6" borderId="0" xfId="0" applyFont="1" applyFill="1" applyAlignment="1">
      <alignment wrapText="1"/>
    </xf>
    <xf numFmtId="0" fontId="23" fillId="6" borderId="0" xfId="0" applyFont="1" applyFill="1" applyAlignment="1">
      <alignment wrapText="1"/>
    </xf>
    <xf numFmtId="0" fontId="7" fillId="6" borderId="0" xfId="0" applyFont="1" applyFill="1" applyAlignment="1">
      <alignment wrapText="1"/>
    </xf>
    <xf numFmtId="0" fontId="16" fillId="0" borderId="1" xfId="0" applyFont="1" applyBorder="1" applyAlignment="1">
      <alignment wrapText="1"/>
    </xf>
    <xf numFmtId="0" fontId="13" fillId="0" borderId="1" xfId="0" applyFont="1" applyBorder="1" applyAlignment="1"/>
    <xf numFmtId="0" fontId="0" fillId="0" borderId="0" xfId="0" applyFont="1" applyBorder="1" applyAlignment="1">
      <alignment wrapText="1"/>
    </xf>
    <xf numFmtId="0" fontId="25" fillId="0" borderId="2" xfId="1" applyBorder="1" applyAlignment="1"/>
  </cellXfs>
  <cellStyles count="2">
    <cellStyle name="Hyperlink" xfId="1" builtinId="8"/>
    <cellStyle name="Normal" xfId="0" builtinId="0"/>
  </cellStyles>
  <dxfs count="2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lima_karzai@mcpsmd.org" TargetMode="External"/><Relationship Id="rId2" Type="http://schemas.openxmlformats.org/officeDocument/2006/relationships/hyperlink" Target="mailto:halima_karzai@mcpsmd.org" TargetMode="External"/><Relationship Id="rId1" Type="http://schemas.openxmlformats.org/officeDocument/2006/relationships/hyperlink" Target="https://drive.google.com/file/d/12j9jDg9PYZArIS6tVaD9n_3Vx57LUa3J/view?usp=sharing" TargetMode="External"/><Relationship Id="rId4" Type="http://schemas.openxmlformats.org/officeDocument/2006/relationships/hyperlink" Target="mailto:halima_karzai@mcpsmd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2j9jDg9PYZArIS6tVaD9n_3Vx57LUa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1002"/>
  <sheetViews>
    <sheetView tabSelected="1" workbookViewId="0">
      <pane xSplit="2" ySplit="1" topLeftCell="E122" activePane="bottomRight" state="frozen"/>
      <selection pane="topRight" activeCell="C1" sqref="C1"/>
      <selection pane="bottomLeft" activeCell="A2" sqref="A2"/>
      <selection pane="bottomRight" activeCell="B131" sqref="B131"/>
    </sheetView>
  </sheetViews>
  <sheetFormatPr defaultColWidth="12.5703125" defaultRowHeight="15.75" customHeight="1"/>
  <cols>
    <col min="1" max="1" width="18.42578125" customWidth="1"/>
    <col min="2" max="2" width="29.42578125" customWidth="1"/>
    <col min="3" max="3" width="23" hidden="1" customWidth="1"/>
    <col min="4" max="4" width="33.42578125" hidden="1" customWidth="1"/>
    <col min="5" max="5" width="24.42578125" customWidth="1"/>
    <col min="6" max="6" width="31.5703125" hidden="1" customWidth="1"/>
    <col min="7" max="7" width="31.7109375" customWidth="1"/>
  </cols>
  <sheetData>
    <row r="1" spans="1:18" ht="25.5">
      <c r="A1" s="1" t="s">
        <v>0</v>
      </c>
      <c r="B1" s="1" t="s">
        <v>1</v>
      </c>
      <c r="C1" s="2" t="s">
        <v>3</v>
      </c>
      <c r="D1" s="2" t="s">
        <v>4</v>
      </c>
      <c r="E1" s="3" t="s">
        <v>5</v>
      </c>
      <c r="F1" s="4" t="s">
        <v>6</v>
      </c>
      <c r="G1" s="4" t="s">
        <v>7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2.75">
      <c r="A2" s="6" t="s">
        <v>10</v>
      </c>
      <c r="B2" s="6" t="s">
        <v>329</v>
      </c>
      <c r="C2" s="7" t="e">
        <f t="array" ref="C2">INDEX('Synergy import (8232022)'!A$1:L$229,MATCH(#REF!,'Synergy import (8232022)'!D$1:D$229,0),8)</f>
        <v>#REF!</v>
      </c>
      <c r="D2" s="7" t="e">
        <f t="array" ref="D2">INDEX('Synergy import (8232022)'!A$1:L$229,MATCH(#REF!,'Synergy import (8232022)'!D$1:D$229,0),7)</f>
        <v>#REF!</v>
      </c>
      <c r="E2" s="8" t="s">
        <v>330</v>
      </c>
      <c r="F2" s="9" t="str">
        <f t="array" aca="1" ref="F2" ca="1">IF(ISBLANK(G2),"",INDEX('SFSS import'!A$1:F$59,MATCH(G2,'SFSS import'!E$1:E$59,0),3))</f>
        <v>John Alcoba</v>
      </c>
      <c r="G2" s="20" t="s">
        <v>331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.75">
      <c r="A3" s="6" t="s">
        <v>10</v>
      </c>
      <c r="B3" s="6" t="s">
        <v>372</v>
      </c>
      <c r="C3" s="7" t="e">
        <f t="array" ref="C3">INDEX('Synergy import (8232022)'!A$1:L$229,MATCH(#REF!,'Synergy import (8232022)'!D$1:D$229,0),8)</f>
        <v>#REF!</v>
      </c>
      <c r="D3" s="7" t="e">
        <f t="array" ref="D3">INDEX('Synergy import (8232022)'!A$1:L$229,MATCH(#REF!,'Synergy import (8232022)'!D$1:D$229,0),7)</f>
        <v>#REF!</v>
      </c>
      <c r="E3" s="8" t="s">
        <v>330</v>
      </c>
      <c r="F3" s="9" t="str">
        <f t="array" aca="1" ref="F3" ca="1">IF(ISBLANK(G3),"",INDEX('SFSS import'!A$1:F$59,MATCH(G3,'SFSS import'!E$1:E$59,0),3))</f>
        <v>John Alcoba</v>
      </c>
      <c r="G3" s="8" t="s">
        <v>331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5.5">
      <c r="A4" s="6" t="s">
        <v>10</v>
      </c>
      <c r="B4" s="15" t="s">
        <v>466</v>
      </c>
      <c r="C4" s="7" t="e">
        <f t="array" ref="C4">INDEX('Synergy import (8232022)'!A$1:L$229,MATCH(#REF!,'Synergy import (8232022)'!D$1:D$229,0),8)</f>
        <v>#REF!</v>
      </c>
      <c r="D4" s="7" t="e">
        <f t="array" ref="D4">INDEX('Synergy import (8232022)'!A$1:L$229,MATCH(#REF!,'Synergy import (8232022)'!D$1:D$229,0),7)</f>
        <v>#REF!</v>
      </c>
      <c r="E4" s="11" t="s">
        <v>330</v>
      </c>
      <c r="F4" s="9" t="str">
        <f t="array" aca="1" ref="F4" ca="1">IF(ISBLANK(G4),"",INDEX('SFSS import'!A$1:F$59,MATCH(G4,'SFSS import'!E$1:E$59,0),3))</f>
        <v>John Alcoba</v>
      </c>
      <c r="G4" s="11" t="s">
        <v>331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ht="12.75">
      <c r="A5" s="6" t="s">
        <v>284</v>
      </c>
      <c r="B5" s="6" t="s">
        <v>458</v>
      </c>
      <c r="C5" s="7" t="e">
        <f t="array" ref="C5">INDEX('Synergy import (8232022)'!A$1:L$229,MATCH(#REF!,'Synergy import (8232022)'!D$1:D$229,0),8)</f>
        <v>#REF!</v>
      </c>
      <c r="D5" s="7" t="e">
        <f t="array" ref="D5">INDEX('Synergy import (8232022)'!A$1:L$229,MATCH(#REF!,'Synergy import (8232022)'!D$1:D$229,0),7)</f>
        <v>#REF!</v>
      </c>
      <c r="E5" s="8" t="s">
        <v>460</v>
      </c>
      <c r="F5" s="9" t="str">
        <f t="array" aca="1" ref="F5" ca="1">IF(ISBLANK(G5),"",INDEX('SFSS import'!A$1:F$59,MATCH(G5,'SFSS import'!E$1:E$59,0),3))</f>
        <v>Anabela Almeida</v>
      </c>
      <c r="G5" s="8" t="s">
        <v>461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12.75">
      <c r="A6" s="6" t="s">
        <v>383</v>
      </c>
      <c r="B6" s="6" t="s">
        <v>384</v>
      </c>
      <c r="C6" s="7" t="e">
        <f t="array" ref="C6">INDEX('Synergy import (8232022)'!A$1:L$229,MATCH(#REF!,'Synergy import (8232022)'!D$1:D$229,0),8)</f>
        <v>#REF!</v>
      </c>
      <c r="D6" s="7" t="e">
        <f t="array" ref="D6">INDEX('Synergy import (8232022)'!A$1:L$229,MATCH(#REF!,'Synergy import (8232022)'!D$1:D$229,0),7)</f>
        <v>#REF!</v>
      </c>
      <c r="E6" s="8" t="s">
        <v>385</v>
      </c>
      <c r="F6" s="9" t="str">
        <f t="array" aca="1" ref="F6" ca="1">IF(ISBLANK(G6),"",INDEX('SFSS import'!A$1:F$59,MATCH(G6,'SFSS import'!E$1:E$59,0),3))</f>
        <v>Giuseppina Alving</v>
      </c>
      <c r="G6" s="8" t="s">
        <v>386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12.75">
      <c r="A7" s="6" t="s">
        <v>383</v>
      </c>
      <c r="B7" s="6" t="s">
        <v>391</v>
      </c>
      <c r="C7" s="7" t="e">
        <f t="array" ref="C7">INDEX('Synergy import (8232022)'!A$1:L$229,MATCH(#REF!,'Synergy import (8232022)'!D$1:D$229,0),8)</f>
        <v>#REF!</v>
      </c>
      <c r="D7" s="7" t="e">
        <f t="array" ref="D7">INDEX('Synergy import (8232022)'!A$1:L$229,MATCH(#REF!,'Synergy import (8232022)'!D$1:D$229,0),7)</f>
        <v>#REF!</v>
      </c>
      <c r="E7" s="11" t="s">
        <v>385</v>
      </c>
      <c r="F7" s="9" t="str">
        <f t="array" aca="1" ref="F7" ca="1">IF(ISBLANK(G7),"",INDEX('SFSS import'!A$1:F$59,MATCH(G7,'SFSS import'!E$1:E$59,0),3))</f>
        <v>Giuseppina Alving</v>
      </c>
      <c r="G7" s="11" t="s">
        <v>386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ht="12.75">
      <c r="A8" s="6" t="s">
        <v>383</v>
      </c>
      <c r="B8" s="6" t="s">
        <v>413</v>
      </c>
      <c r="C8" s="7" t="e">
        <f t="array" ref="C8">INDEX('Synergy import (8232022)'!A$1:L$229,MATCH(#REF!,'Synergy import (8232022)'!D$1:D$229,0),8)</f>
        <v>#REF!</v>
      </c>
      <c r="D8" s="7" t="e">
        <f t="array" ref="D8">INDEX('Synergy import (8232022)'!A$1:L$229,MATCH(#REF!,'Synergy import (8232022)'!D$1:D$229,0),7)</f>
        <v>#REF!</v>
      </c>
      <c r="E8" s="8" t="s">
        <v>414</v>
      </c>
      <c r="F8" s="9" t="str">
        <f t="array" aca="1" ref="F8" ca="1">IF(ISBLANK(G8),"",INDEX('SFSS import'!A$1:F$59,MATCH(G8,'SFSS import'!E$1:E$59,0),3))</f>
        <v>Giuseppina Alving</v>
      </c>
      <c r="G8" s="8" t="s">
        <v>386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2.75">
      <c r="A9" s="6" t="s">
        <v>148</v>
      </c>
      <c r="B9" s="6" t="s">
        <v>182</v>
      </c>
      <c r="C9" s="7" t="e">
        <f t="array" ref="C9">INDEX('Synergy import (8232022)'!A$1:L$229,MATCH(#REF!,'Synergy import (8232022)'!D$1:D$229,0),8)</f>
        <v>#REF!</v>
      </c>
      <c r="D9" s="7" t="e">
        <f t="array" ref="D9">INDEX('Synergy import (8232022)'!A$1:L$229,MATCH(#REF!,'Synergy import (8232022)'!D$1:D$229,0),7)</f>
        <v>#REF!</v>
      </c>
      <c r="E9" s="8" t="s">
        <v>183</v>
      </c>
      <c r="F9" s="9" t="str">
        <f t="array" aca="1" ref="F9" ca="1">IF(ISBLANK(G9),"",INDEX('SFSS import'!A$1:F$59,MATCH(G9,'SFSS import'!E$1:E$59,0),3))</f>
        <v>Shana Bailey</v>
      </c>
      <c r="G9" s="8" t="s">
        <v>184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6" t="s">
        <v>148</v>
      </c>
      <c r="B10" s="6" t="s">
        <v>185</v>
      </c>
      <c r="C10" s="7" t="e">
        <f t="array" ref="C10">INDEX('Synergy import (8232022)'!A$1:L$229,MATCH(#REF!,'Synergy import (8232022)'!D$1:D$229,0),8)</f>
        <v>#REF!</v>
      </c>
      <c r="D10" s="7" t="e">
        <f t="array" ref="D10">INDEX('Synergy import (8232022)'!A$1:L$229,MATCH(#REF!,'Synergy import (8232022)'!D$1:D$229,0),7)</f>
        <v>#REF!</v>
      </c>
      <c r="E10" s="8" t="s">
        <v>183</v>
      </c>
      <c r="F10" s="9" t="str">
        <f t="array" aca="1" ref="F10" ca="1">IF(ISBLANK(G10),"",INDEX('SFSS import'!A$1:F$59,MATCH(G10,'SFSS import'!E$1:E$59,0),3))</f>
        <v>Shana Bailey</v>
      </c>
      <c r="G10" s="8" t="s">
        <v>184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2.75">
      <c r="A11" s="6" t="s">
        <v>148</v>
      </c>
      <c r="B11" s="6" t="s">
        <v>323</v>
      </c>
      <c r="C11" s="7" t="e">
        <f t="array" ref="C11">INDEX('Synergy import (8232022)'!A$1:L$229,MATCH(#REF!,'Synergy import (8232022)'!D$1:D$229,0),8)</f>
        <v>#REF!</v>
      </c>
      <c r="D11" s="7" t="e">
        <f t="array" ref="D11">INDEX('Synergy import (8232022)'!A$1:L$229,MATCH(#REF!,'Synergy import (8232022)'!D$1:D$229,0),7)</f>
        <v>#REF!</v>
      </c>
      <c r="E11" s="8" t="s">
        <v>324</v>
      </c>
      <c r="F11" s="9" t="str">
        <f t="array" aca="1" ref="F11" ca="1">IF(ISBLANK(G11),"",INDEX('SFSS import'!A$1:F$59,MATCH(G11,'SFSS import'!E$1:E$59,0),3))</f>
        <v>Shana Bailey</v>
      </c>
      <c r="G11" s="8" t="s">
        <v>184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2.75">
      <c r="A12" s="6" t="s">
        <v>247</v>
      </c>
      <c r="B12" s="6" t="s">
        <v>248</v>
      </c>
      <c r="C12" s="7" t="e">
        <f t="array" ref="C12">INDEX('Synergy import (8232022)'!A$1:L$229,MATCH(#REF!,'Synergy import (8232022)'!D$1:D$229,0),8)</f>
        <v>#REF!</v>
      </c>
      <c r="D12" s="7" t="e">
        <f t="array" ref="D12">INDEX('Synergy import (8232022)'!A$1:L$229,MATCH(#REF!,'Synergy import (8232022)'!D$1:D$229,0),7)</f>
        <v>#REF!</v>
      </c>
      <c r="E12" s="11" t="s">
        <v>249</v>
      </c>
      <c r="F12" s="9" t="str">
        <f t="array" aca="1" ref="F12" ca="1">IF(ISBLANK(G12),"",INDEX('SFSS import'!A$1:F$59,MATCH(G12,'SFSS import'!E$1:E$59,0),3))</f>
        <v>Oscar Buitrago</v>
      </c>
      <c r="G12" s="11" t="s">
        <v>250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2.75">
      <c r="A13" s="6" t="s">
        <v>291</v>
      </c>
      <c r="B13" s="6" t="s">
        <v>332</v>
      </c>
      <c r="C13" s="5"/>
      <c r="D13" s="5"/>
      <c r="E13" s="11" t="s">
        <v>333</v>
      </c>
      <c r="F13" s="9" t="str">
        <f t="array" aca="1" ref="F13" ca="1">IF(ISBLANK(G13),"",INDEX('SFSS import'!A$1:F$59,MATCH(G13,'SFSS import'!E$1:E$59,0),3))</f>
        <v>Ree-Ree Burke</v>
      </c>
      <c r="G13" s="11" t="s">
        <v>334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ht="12.75">
      <c r="A14" s="6" t="s">
        <v>154</v>
      </c>
      <c r="B14" s="6" t="s">
        <v>404</v>
      </c>
      <c r="C14" s="7" t="e">
        <f t="array" ref="C14">INDEX('Synergy import (8232022)'!A$1:L$229,MATCH(#REF!,'Synergy import (8232022)'!D$1:D$229,0),8)</f>
        <v>#REF!</v>
      </c>
      <c r="D14" s="7" t="e">
        <f t="array" ref="D14">INDEX('Synergy import (8232022)'!A$1:L$229,MATCH(#REF!,'Synergy import (8232022)'!D$1:D$229,0),7)</f>
        <v>#REF!</v>
      </c>
      <c r="E14" s="8" t="s">
        <v>333</v>
      </c>
      <c r="F14" s="9" t="str">
        <f t="array" aca="1" ref="F14" ca="1">IF(ISBLANK(G14),"",INDEX('SFSS import'!A$1:F$59,MATCH(G14,'SFSS import'!E$1:E$59,0),3))</f>
        <v>Ree-Ree Burke</v>
      </c>
      <c r="G14" s="8" t="s">
        <v>334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ht="12.75">
      <c r="A15" s="6" t="s">
        <v>291</v>
      </c>
      <c r="B15" s="6" t="s">
        <v>523</v>
      </c>
      <c r="C15" s="7" t="e">
        <f t="array" ref="C15">INDEX('Synergy import (8232022)'!A$1:L$229,MATCH(#REF!,'Synergy import (8232022)'!D$1:D$229,0),8)</f>
        <v>#REF!</v>
      </c>
      <c r="D15" s="7" t="e">
        <f t="array" ref="D15">INDEX('Synergy import (8232022)'!A$1:L$229,MATCH(#REF!,'Synergy import (8232022)'!D$1:D$229,0),7)</f>
        <v>#REF!</v>
      </c>
      <c r="E15" s="11" t="s">
        <v>524</v>
      </c>
      <c r="F15" s="9" t="str">
        <f t="array" aca="1" ref="F15" ca="1">IF(ISBLANK(G15),"",INDEX('SFSS import'!A$1:F$59,MATCH(G15,'SFSS import'!E$1:E$59,0),3))</f>
        <v>Ree-Ree Burke</v>
      </c>
      <c r="G15" s="11" t="s">
        <v>334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ht="12.75">
      <c r="A16" s="6" t="s">
        <v>122</v>
      </c>
      <c r="B16" s="6" t="s">
        <v>123</v>
      </c>
      <c r="C16" s="7" t="e">
        <f t="array" ref="C16">INDEX('Synergy import (8232022)'!A$1:L$229,MATCH(#REF!,'Synergy import (8232022)'!D$1:D$229,0),8)</f>
        <v>#REF!</v>
      </c>
      <c r="D16" s="7" t="e">
        <f t="array" ref="D16">INDEX('Synergy import (8232022)'!A$1:L$229,MATCH(#REF!,'Synergy import (8232022)'!D$1:D$229,0),7)</f>
        <v>#REF!</v>
      </c>
      <c r="E16" s="11" t="s">
        <v>125</v>
      </c>
      <c r="F16" s="9" t="str">
        <f t="array" aca="1" ref="F16" ca="1">IF(ISBLANK(G16),"",INDEX('SFSS import'!A$1:F$59,MATCH(G16,'SFSS import'!E$1:E$59,0),3))</f>
        <v>Nivardo Candanedo</v>
      </c>
      <c r="G16" s="11" t="s">
        <v>126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ht="12.75">
      <c r="A17" s="6" t="s">
        <v>139</v>
      </c>
      <c r="B17" s="6" t="s">
        <v>159</v>
      </c>
      <c r="C17" s="7" t="e">
        <f t="array" ref="C17">INDEX('Synergy import (8232022)'!A$1:L$229,MATCH(#REF!,'Synergy import (8232022)'!D$1:D$229,0),8)</f>
        <v>#REF!</v>
      </c>
      <c r="D17" s="7" t="e">
        <f t="array" ref="D17">INDEX('Synergy import (8232022)'!A$1:L$229,MATCH(#REF!,'Synergy import (8232022)'!D$1:D$229,0),7)</f>
        <v>#REF!</v>
      </c>
      <c r="E17" s="19" t="s">
        <v>125</v>
      </c>
      <c r="F17" s="9" t="str">
        <f t="array" aca="1" ref="F17" ca="1">IF(ISBLANK(G17),"",INDEX('SFSS import'!A$1:F$59,MATCH(G17,'SFSS import'!E$1:E$59,0),3))</f>
        <v>Nivardo Candanedo</v>
      </c>
      <c r="G17" s="19" t="s">
        <v>126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ht="12.75">
      <c r="A18" s="6" t="s">
        <v>148</v>
      </c>
      <c r="B18" s="6" t="s">
        <v>441</v>
      </c>
      <c r="C18" s="7" t="e">
        <f t="array" ref="C18">INDEX('Synergy import (8232022)'!A$1:L$229,MATCH(#REF!,'Synergy import (8232022)'!D$1:D$229,0),8)</f>
        <v>#REF!</v>
      </c>
      <c r="D18" s="7" t="e">
        <f t="array" ref="D18">INDEX('Synergy import (8232022)'!A$1:L$229,MATCH(#REF!,'Synergy import (8232022)'!D$1:D$229,0),7)</f>
        <v>#REF!</v>
      </c>
      <c r="E18" s="8" t="s">
        <v>443</v>
      </c>
      <c r="F18" s="9" t="str">
        <f t="array" aca="1" ref="F18" ca="1">IF(ISBLANK(G18),"",INDEX('SFSS import'!A$1:F$59,MATCH(G18,'SFSS import'!E$1:E$59,0),3))</f>
        <v>Nivardo Candanedo</v>
      </c>
      <c r="G18" s="8" t="s">
        <v>126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ht="12.75">
      <c r="A19" s="6" t="s">
        <v>74</v>
      </c>
      <c r="B19" s="6" t="s">
        <v>506</v>
      </c>
      <c r="C19" s="7" t="e">
        <f t="array" ref="C19">INDEX('Synergy import (8232022)'!A$1:L$229,MATCH(#REF!,'Synergy import (8232022)'!D$1:D$229,0),8)</f>
        <v>#REF!</v>
      </c>
      <c r="D19" s="7" t="e">
        <f t="array" ref="D19">INDEX('Synergy import (8232022)'!A$1:L$229,MATCH(#REF!,'Synergy import (8232022)'!D$1:D$229,0),7)</f>
        <v>#REF!</v>
      </c>
      <c r="E19" s="101" t="s">
        <v>507</v>
      </c>
      <c r="F19" s="9" t="str">
        <f t="array" aca="1" ref="F19" ca="1">IF(ISBLANK(G19),"",INDEX('SFSS import'!A$1:F$59,MATCH(G19,'SFSS import'!E$1:E$59,0),3))</f>
        <v>Liliane Cherrick</v>
      </c>
      <c r="G19" s="101" t="s">
        <v>508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ht="12.75">
      <c r="A20" s="6" t="s">
        <v>74</v>
      </c>
      <c r="B20" s="6" t="s">
        <v>522</v>
      </c>
      <c r="C20" s="7" t="e">
        <f t="array" ref="C20">INDEX('Synergy import (8232022)'!A$1:L$229,MATCH(#REF!,'Synergy import (8232022)'!D$1:D$229,0),8)</f>
        <v>#REF!</v>
      </c>
      <c r="D20" s="7" t="e">
        <f t="array" ref="D20">INDEX('Synergy import (8232022)'!A$1:L$229,MATCH(#REF!,'Synergy import (8232022)'!D$1:D$229,0),7)</f>
        <v>#REF!</v>
      </c>
      <c r="E20" s="11" t="s">
        <v>507</v>
      </c>
      <c r="F20" s="9" t="str">
        <f t="array" aca="1" ref="F20" ca="1">IF(ISBLANK(G20),"",INDEX('SFSS import'!A$1:F$59,MATCH(G20,'SFSS import'!E$1:E$59,0),3))</f>
        <v>Liliane Cherrick</v>
      </c>
      <c r="G20" s="11" t="s">
        <v>508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ht="12.75">
      <c r="A21" s="6" t="s">
        <v>74</v>
      </c>
      <c r="B21" s="6" t="s">
        <v>538</v>
      </c>
      <c r="C21" s="7" t="e">
        <f t="array" ref="C21">INDEX('Synergy import (8232022)'!A$1:L$229,MATCH(#REF!,'Synergy import (8232022)'!D$1:D$229,0),8)</f>
        <v>#REF!</v>
      </c>
      <c r="D21" s="7" t="e">
        <f t="array" ref="D21">INDEX('Synergy import (8232022)'!A$1:L$229,MATCH(#REF!,'Synergy import (8232022)'!D$1:D$229,0),7)</f>
        <v>#REF!</v>
      </c>
      <c r="E21" s="8" t="s">
        <v>507</v>
      </c>
      <c r="F21" s="9" t="str">
        <f t="array" aca="1" ref="F21" ca="1">IF(ISBLANK(G21),"",INDEX('SFSS import'!A$1:F$59,MATCH(G21,'SFSS import'!E$1:E$59,0),3))</f>
        <v>Liliane Cherrick</v>
      </c>
      <c r="G21" s="8" t="s">
        <v>508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2.75">
      <c r="A22" s="6" t="s">
        <v>154</v>
      </c>
      <c r="B22" s="6" t="s">
        <v>169</v>
      </c>
      <c r="C22" s="7" t="e">
        <f t="array" ref="C22">INDEX('Synergy import (8232022)'!A$1:L$229,MATCH(#REF!,'Synergy import (8232022)'!D$1:D$229,0),8)</f>
        <v>#REF!</v>
      </c>
      <c r="D22" s="7" t="e">
        <f t="array" ref="D22">INDEX('Synergy import (8232022)'!A$1:L$229,MATCH(#REF!,'Synergy import (8232022)'!D$1:D$229,0),7)</f>
        <v>#REF!</v>
      </c>
      <c r="E22" s="8" t="s">
        <v>170</v>
      </c>
      <c r="F22" s="9" t="str">
        <f t="array" aca="1" ref="F22" ca="1">IF(ISBLANK(G22),"",INDEX('SFSS import'!A$1:F$59,MATCH(G22,'SFSS import'!E$1:E$59,0),3))</f>
        <v>YoungMee Choi</v>
      </c>
      <c r="G22" s="8" t="s">
        <v>119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2.75">
      <c r="A23" s="6" t="s">
        <v>52</v>
      </c>
      <c r="B23" s="6" t="s">
        <v>214</v>
      </c>
      <c r="C23" s="7" t="e">
        <f t="array" ref="C23">INDEX('Synergy import (8232022)'!A$1:L$229,MATCH(#REF!,'Synergy import (8232022)'!D$1:D$229,0),8)</f>
        <v>#REF!</v>
      </c>
      <c r="D23" s="7" t="e">
        <f t="array" ref="D23">INDEX('Synergy import (8232022)'!A$1:L$229,MATCH(#REF!,'Synergy import (8232022)'!D$1:D$229,0),7)</f>
        <v>#REF!</v>
      </c>
      <c r="E23" s="8" t="s">
        <v>170</v>
      </c>
      <c r="F23" s="9" t="str">
        <f t="array" aca="1" ref="F23" ca="1">IF(ISBLANK(G23),"",INDEX('SFSS import'!A$1:F$59,MATCH(G23,'SFSS import'!E$1:E$59,0),3))</f>
        <v>YoungMee Choi</v>
      </c>
      <c r="G23" s="8" t="s">
        <v>119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2.75">
      <c r="A24" s="6" t="s">
        <v>69</v>
      </c>
      <c r="B24" s="6" t="s">
        <v>116</v>
      </c>
      <c r="C24" s="7" t="e">
        <f t="array" ref="C24">INDEX('Synergy import (8232022)'!A$1:L$229,MATCH(#REF!,'Synergy import (8232022)'!D$1:D$229,0),8)</f>
        <v>#REF!</v>
      </c>
      <c r="D24" s="7" t="e">
        <f t="array" ref="D24">INDEX('Synergy import (8232022)'!A$1:L$229,MATCH(#REF!,'Synergy import (8232022)'!D$1:D$229,0),7)</f>
        <v>#REF!</v>
      </c>
      <c r="E24" s="8" t="s">
        <v>118</v>
      </c>
      <c r="F24" s="9" t="str">
        <f t="array" aca="1" ref="F24" ca="1">IF(ISBLANK(G24),"",INDEX('SFSS import'!A$1:F$59,MATCH(G24,'SFSS import'!E$1:E$59,0),3))</f>
        <v>YoungMee Choi</v>
      </c>
      <c r="G24" s="8" t="s">
        <v>119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ht="25.5">
      <c r="A25" s="6" t="s">
        <v>10</v>
      </c>
      <c r="B25" s="6" t="s">
        <v>18</v>
      </c>
      <c r="C25" s="7" t="e">
        <f t="array" ref="C25">INDEX('Synergy import (8232022)'!A$1:L$229,MATCH(#REF!,'Synergy import (8232022)'!D$1:D$229,0),8)</f>
        <v>#REF!</v>
      </c>
      <c r="D25" s="7" t="e">
        <f t="array" ref="D25">INDEX('Synergy import (8232022)'!A$1:L$229,MATCH(#REF!,'Synergy import (8232022)'!D$1:D$229,0),7)</f>
        <v>#REF!</v>
      </c>
      <c r="E25" s="11" t="s">
        <v>19</v>
      </c>
      <c r="F25" s="9" t="str">
        <f t="array" aca="1" ref="F25" ca="1">IF(ISBLANK(G25),"",INDEX('SFSS import'!A$1:F$59,MATCH(G25,'SFSS import'!E$1:E$59,0),3))</f>
        <v>Kateri Cordova-Orellana</v>
      </c>
      <c r="G25" s="11" t="s">
        <v>20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5.5">
      <c r="A26" s="6" t="s">
        <v>10</v>
      </c>
      <c r="B26" s="6" t="s">
        <v>61</v>
      </c>
      <c r="C26" s="7" t="e">
        <f t="array" ref="C26">INDEX('Synergy import (8232022)'!A$1:L$229,MATCH(#REF!,'Synergy import (8232022)'!D$1:D$229,0),8)</f>
        <v>#REF!</v>
      </c>
      <c r="D26" s="7" t="e">
        <f t="array" ref="D26">INDEX('Synergy import (8232022)'!A$1:L$229,MATCH(#REF!,'Synergy import (8232022)'!D$1:D$229,0),7)</f>
        <v>#REF!</v>
      </c>
      <c r="E26" s="8" t="s">
        <v>19</v>
      </c>
      <c r="F26" s="9" t="str">
        <f t="array" aca="1" ref="F26" ca="1">IF(ISBLANK(G26),"",INDEX('SFSS import'!A$1:F$59,MATCH(G26,'SFSS import'!E$1:E$59,0),3))</f>
        <v>Kateri Cordova-Orellana</v>
      </c>
      <c r="G26" s="8" t="s">
        <v>20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5.5">
      <c r="A27" s="6" t="s">
        <v>10</v>
      </c>
      <c r="B27" s="6" t="s">
        <v>560</v>
      </c>
      <c r="C27" s="7" t="e">
        <f t="array" ref="C27">INDEX('Synergy import (8232022)'!A$1:L$229,MATCH(#REF!,'Synergy import (8232022)'!D$1:D$229,0),8)</f>
        <v>#REF!</v>
      </c>
      <c r="D27" s="7" t="e">
        <f t="array" ref="D27">INDEX('Synergy import (8232022)'!A$1:L$229,MATCH(#REF!,'Synergy import (8232022)'!D$1:D$229,0),7)</f>
        <v>#REF!</v>
      </c>
      <c r="E27" s="8" t="s">
        <v>19</v>
      </c>
      <c r="F27" s="9" t="str">
        <f t="array" aca="1" ref="F27" ca="1">IF(ISBLANK(G27),"",INDEX('SFSS import'!A$1:F$59,MATCH(G27,'SFSS import'!E$1:E$59,0),3))</f>
        <v>Kateri Cordova-Orellana</v>
      </c>
      <c r="G27" s="8" t="s">
        <v>20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12.75">
      <c r="A28" s="6" t="s">
        <v>129</v>
      </c>
      <c r="B28" s="6" t="s">
        <v>392</v>
      </c>
      <c r="C28" s="7" t="e">
        <f t="array" ref="C28">INDEX('Synergy import (8232022)'!A$1:L$229,MATCH(#REF!,'Synergy import (8232022)'!D$1:D$229,0),8)</f>
        <v>#REF!</v>
      </c>
      <c r="D28" s="7" t="e">
        <f t="array" ref="D28">INDEX('Synergy import (8232022)'!A$1:L$229,MATCH(#REF!,'Synergy import (8232022)'!D$1:D$229,0),7)</f>
        <v>#REF!</v>
      </c>
      <c r="E28" s="101" t="s">
        <v>393</v>
      </c>
      <c r="F28" s="101" t="str">
        <f t="array" aca="1" ref="F28" ca="1">IF(ISBLANK(G28),"",INDEX('SFSS import'!A$1:F$59,MATCH(G28,'SFSS import'!E$1:E$59,0),3))</f>
        <v>Sandy Corrales</v>
      </c>
      <c r="G28" s="101" t="s">
        <v>132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12.75">
      <c r="A29" s="6" t="s">
        <v>291</v>
      </c>
      <c r="B29" s="6" t="s">
        <v>396</v>
      </c>
      <c r="C29" s="7" t="e">
        <f t="array" ref="C29">INDEX('Synergy import (8232022)'!A$1:L$229,MATCH(#REF!,'Synergy import (8232022)'!D$1:D$229,0),8)</f>
        <v>#REF!</v>
      </c>
      <c r="D29" s="7" t="e">
        <f t="array" ref="D29">INDEX('Synergy import (8232022)'!A$1:L$229,MATCH(#REF!,'Synergy import (8232022)'!D$1:D$229,0),7)</f>
        <v>#REF!</v>
      </c>
      <c r="E29" s="11" t="s">
        <v>393</v>
      </c>
      <c r="F29" s="9" t="str">
        <f t="array" aca="1" ref="F29" ca="1">IF(ISBLANK(G29),"",INDEX('SFSS import'!A$1:F$59,MATCH(G29,'SFSS import'!E$1:E$59,0),3))</f>
        <v>Sandy Corrales</v>
      </c>
      <c r="G29" s="11" t="s">
        <v>132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12.75">
      <c r="A30" s="6" t="s">
        <v>129</v>
      </c>
      <c r="B30" s="6" t="s">
        <v>130</v>
      </c>
      <c r="C30" s="7" t="e">
        <f t="array" ref="C30">INDEX('Synergy import (8232022)'!A$1:L$229,MATCH(#REF!,'Synergy import (8232022)'!D$1:D$229,0),8)</f>
        <v>#REF!</v>
      </c>
      <c r="D30" s="7" t="e">
        <f t="array" ref="D30">INDEX('Synergy import (8232022)'!A$1:L$229,MATCH(#REF!,'Synergy import (8232022)'!D$1:D$229,0),7)</f>
        <v>#REF!</v>
      </c>
      <c r="E30" s="11" t="s">
        <v>131</v>
      </c>
      <c r="F30" s="9" t="str">
        <f t="array" aca="1" ref="F30" ca="1">IF(ISBLANK(G30),"",INDEX('SFSS import'!A$1:F$59,MATCH(G30,'SFSS import'!E$1:E$59,0),3))</f>
        <v>Sandy Corrales</v>
      </c>
      <c r="G30" s="11" t="s">
        <v>132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>
      <c r="A31" s="6" t="s">
        <v>291</v>
      </c>
      <c r="B31" s="6" t="s">
        <v>561</v>
      </c>
      <c r="C31" s="7" t="e">
        <f t="array" ref="C31">INDEX('Synergy import (8232022)'!A$1:L$229,MATCH(#REF!,'Synergy import (8232022)'!D$1:D$229,0),8)</f>
        <v>#REF!</v>
      </c>
      <c r="D31" s="7" t="e">
        <f t="array" ref="D31">INDEX('Synergy import (8232022)'!A$1:L$229,MATCH(#REF!,'Synergy import (8232022)'!D$1:D$229,0),7)</f>
        <v>#REF!</v>
      </c>
      <c r="E31" s="8" t="s">
        <v>562</v>
      </c>
      <c r="F31" s="9" t="str">
        <f t="array" aca="1" ref="F31" ca="1">IF(ISBLANK(G31),"",INDEX('SFSS import'!A$1:F$59,MATCH(G31,'SFSS import'!E$1:E$59,0),3))</f>
        <v>Maribel De La Cruz</v>
      </c>
      <c r="G31" s="8" t="s">
        <v>563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>
      <c r="A32" s="6" t="s">
        <v>291</v>
      </c>
      <c r="B32" s="6" t="s">
        <v>564</v>
      </c>
      <c r="C32" s="7" t="e">
        <f t="array" ref="C32">INDEX('Synergy import (8232022)'!A$1:L$229,MATCH(#REF!,'Synergy import (8232022)'!D$1:D$229,0),8)</f>
        <v>#REF!</v>
      </c>
      <c r="D32" s="7" t="e">
        <f t="array" ref="D32">INDEX('Synergy import (8232022)'!A$1:L$229,MATCH(#REF!,'Synergy import (8232022)'!D$1:D$229,0),7)</f>
        <v>#REF!</v>
      </c>
      <c r="E32" s="11" t="s">
        <v>562</v>
      </c>
      <c r="F32" s="9" t="str">
        <f t="array" aca="1" ref="F32" ca="1">IF(ISBLANK(G32),"",INDEX('SFSS import'!A$1:F$59,MATCH(G32,'SFSS import'!E$1:E$59,0),3))</f>
        <v>Maribel De La Cruz</v>
      </c>
      <c r="G32" s="11" t="s">
        <v>563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12.75">
      <c r="A33" s="6" t="s">
        <v>291</v>
      </c>
      <c r="B33" s="6" t="s">
        <v>579</v>
      </c>
      <c r="C33" s="7" t="e">
        <f t="array" ref="C33">INDEX('Synergy import (8232022)'!A$1:L$229,MATCH(#REF!,'Synergy import (8232022)'!D$1:D$229,0),8)</f>
        <v>#REF!</v>
      </c>
      <c r="D33" s="7" t="e">
        <f t="array" ref="D33">INDEX('Synergy import (8232022)'!A$1:L$229,MATCH(#REF!,'Synergy import (8232022)'!D$1:D$229,0),7)</f>
        <v>#REF!</v>
      </c>
      <c r="E33" s="11" t="s">
        <v>562</v>
      </c>
      <c r="F33" s="9" t="str">
        <f t="array" aca="1" ref="F33" ca="1">IF(ISBLANK(G33),"",INDEX('SFSS import'!A$1:F$59,MATCH(G33,'SFSS import'!E$1:E$59,0),3))</f>
        <v>Maribel De La Cruz</v>
      </c>
      <c r="G33" s="11" t="s">
        <v>563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ht="25.5">
      <c r="A34" s="6" t="s">
        <v>154</v>
      </c>
      <c r="B34" s="6" t="s">
        <v>494</v>
      </c>
      <c r="C34" s="7" t="e">
        <f t="array" ref="C34">INDEX('Synergy import (8232022)'!A$1:L$229,MATCH(#REF!,'Synergy import (8232022)'!D$1:D$229,0),8)</f>
        <v>#REF!</v>
      </c>
      <c r="D34" s="7" t="e">
        <f t="array" ref="D34">INDEX('Synergy import (8232022)'!A$1:L$229,MATCH(#REF!,'Synergy import (8232022)'!D$1:D$229,0),7)</f>
        <v>#REF!</v>
      </c>
      <c r="E34" s="11" t="s">
        <v>496</v>
      </c>
      <c r="F34" s="9" t="str">
        <f t="array" aca="1" ref="F34" ca="1">IF(ISBLANK(G34),"",INDEX('SFSS import'!A$1:F$59,MATCH(G34,'SFSS import'!E$1:E$59,0),3))</f>
        <v>Colleen DeCruise-Brown</v>
      </c>
      <c r="G34" s="11" t="s">
        <v>497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ht="25.5">
      <c r="A35" s="6" t="s">
        <v>383</v>
      </c>
      <c r="B35" s="6" t="s">
        <v>500</v>
      </c>
      <c r="C35" s="7" t="e">
        <f t="array" ref="C35">INDEX('Synergy import (8232022)'!A$1:L$229,MATCH(#REF!,'Synergy import (8232022)'!D$1:D$229,0),8)</f>
        <v>#REF!</v>
      </c>
      <c r="D35" s="7" t="e">
        <f t="array" ref="D35">INDEX('Synergy import (8232022)'!A$1:L$229,MATCH(#REF!,'Synergy import (8232022)'!D$1:D$229,0),7)</f>
        <v>#REF!</v>
      </c>
      <c r="E35" s="8" t="s">
        <v>501</v>
      </c>
      <c r="F35" s="9" t="str">
        <f t="array" aca="1" ref="F35" ca="1">IF(ISBLANK(G35),"",INDEX('SFSS import'!A$1:F$59,MATCH(G35,'SFSS import'!E$1:E$59,0),3))</f>
        <v>Colleen DeCruise-Brown</v>
      </c>
      <c r="G35" s="8" t="s">
        <v>497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ht="25.5">
      <c r="A36" s="6" t="s">
        <v>154</v>
      </c>
      <c r="B36" s="6" t="s">
        <v>527</v>
      </c>
      <c r="C36" s="7" t="e">
        <f t="array" ref="C36">INDEX('Synergy import (8232022)'!A$1:L$229,MATCH(#REF!,'Synergy import (8232022)'!D$1:D$229,0),8)</f>
        <v>#REF!</v>
      </c>
      <c r="D36" s="7" t="e">
        <f t="array" ref="D36">INDEX('Synergy import (8232022)'!A$1:L$229,MATCH(#REF!,'Synergy import (8232022)'!D$1:D$229,0),7)</f>
        <v>#REF!</v>
      </c>
      <c r="E36" s="11" t="s">
        <v>496</v>
      </c>
      <c r="F36" s="9" t="str">
        <f t="array" aca="1" ref="F36" ca="1">IF(ISBLANK(G36),"",INDEX('SFSS import'!A$1:F$59,MATCH(G36,'SFSS import'!E$1:E$59,0),3))</f>
        <v>Colleen DeCruise-Brown</v>
      </c>
      <c r="G36" s="11" t="s">
        <v>497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12.75">
      <c r="A37" s="6" t="s">
        <v>101</v>
      </c>
      <c r="B37" s="6" t="s">
        <v>208</v>
      </c>
      <c r="C37" s="7" t="e">
        <f t="array" ref="C37">INDEX('Synergy import (8232022)'!A$1:L$229,MATCH(#REF!,'Synergy import (8232022)'!D$1:D$229,0),8)</f>
        <v>#REF!</v>
      </c>
      <c r="D37" s="7" t="e">
        <f t="array" ref="D37">INDEX('Synergy import (8232022)'!A$1:L$229,MATCH(#REF!,'Synergy import (8232022)'!D$1:D$229,0),7)</f>
        <v>#REF!</v>
      </c>
      <c r="E37" s="11" t="s">
        <v>209</v>
      </c>
      <c r="F37" s="9" t="str">
        <f t="array" aca="1" ref="F37" ca="1">IF(ISBLANK(G37),"",INDEX('SFSS import'!A$1:F$59,MATCH(G37,'SFSS import'!E$1:E$59,0),3))</f>
        <v>Zoe D'Eugenio Pinel</v>
      </c>
      <c r="G37" s="11" t="s">
        <v>210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12.75">
      <c r="A38" s="6" t="s">
        <v>122</v>
      </c>
      <c r="B38" s="6" t="s">
        <v>400</v>
      </c>
      <c r="C38" s="7" t="e">
        <f t="array" ref="C38">INDEX('Synergy import (8232022)'!A$1:L$229,MATCH(#REF!,'Synergy import (8232022)'!D$1:D$229,0),8)</f>
        <v>#REF!</v>
      </c>
      <c r="D38" s="7" t="e">
        <f t="array" ref="D38">INDEX('Synergy import (8232022)'!A$1:L$229,MATCH(#REF!,'Synergy import (8232022)'!D$1:D$229,0),7)</f>
        <v>#REF!</v>
      </c>
      <c r="E38" s="11" t="s">
        <v>209</v>
      </c>
      <c r="F38" s="9" t="str">
        <f t="array" aca="1" ref="F38" ca="1">IF(ISBLANK(G38),"",INDEX('SFSS import'!A$1:F$59,MATCH(G38,'SFSS import'!E$1:E$59,0),3))</f>
        <v>Zoe D'Eugenio Pinel</v>
      </c>
      <c r="G38" s="11" t="s">
        <v>210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12.75">
      <c r="A39" s="6" t="s">
        <v>101</v>
      </c>
      <c r="B39" s="6" t="s">
        <v>557</v>
      </c>
      <c r="C39" s="7" t="e">
        <f t="array" ref="C39">INDEX('Synergy import (8232022)'!A$1:L$229,MATCH(#REF!,'Synergy import (8232022)'!D$1:D$229,0),8)</f>
        <v>#REF!</v>
      </c>
      <c r="D39" s="7" t="e">
        <f t="array" ref="D39">INDEX('Synergy import (8232022)'!A$1:L$229,MATCH(#REF!,'Synergy import (8232022)'!D$1:D$229,0),7)</f>
        <v>#REF!</v>
      </c>
      <c r="E39" s="8" t="s">
        <v>558</v>
      </c>
      <c r="F39" s="9" t="str">
        <f t="array" aca="1" ref="F39" ca="1">IF(ISBLANK(G39),"",INDEX('SFSS import'!A$1:F$59,MATCH(G39,'SFSS import'!E$1:E$59,0),3))</f>
        <v>Zoe D'Eugenio Pinel</v>
      </c>
      <c r="G39" s="8" t="s">
        <v>210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12.75">
      <c r="A40" s="6" t="s">
        <v>247</v>
      </c>
      <c r="B40" s="6" t="s">
        <v>347</v>
      </c>
      <c r="C40" s="7" t="e">
        <f t="array" ref="C40">INDEX('Synergy import (8232022)'!A$1:L$229,MATCH(#REF!,'Synergy import (8232022)'!D$1:D$229,0),8)</f>
        <v>#REF!</v>
      </c>
      <c r="D40" s="7" t="e">
        <f t="array" ref="D40">INDEX('Synergy import (8232022)'!A$1:L$229,MATCH(#REF!,'Synergy import (8232022)'!D$1:D$229,0),7)</f>
        <v>#REF!</v>
      </c>
      <c r="E40" s="8" t="s">
        <v>348</v>
      </c>
      <c r="F40" s="9" t="str">
        <f t="array" aca="1" ref="F40" ca="1">IF(ISBLANK(G40),"",INDEX('SFSS import'!A$1:F$59,MATCH(G40,'SFSS import'!E$1:E$59,0),3))</f>
        <v>Marta Ferman</v>
      </c>
      <c r="G40" s="8" t="s">
        <v>349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2.75">
      <c r="A41" s="6" t="s">
        <v>247</v>
      </c>
      <c r="B41" s="6" t="s">
        <v>543</v>
      </c>
      <c r="C41" s="7" t="e">
        <f t="array" ref="C41">INDEX('Synergy import (8232022)'!A$1:L$229,MATCH(#REF!,'Synergy import (8232022)'!D$1:D$229,0),8)</f>
        <v>#REF!</v>
      </c>
      <c r="D41" s="7" t="e">
        <f t="array" ref="D41">INDEX('Synergy import (8232022)'!A$1:L$229,MATCH(#REF!,'Synergy import (8232022)'!D$1:D$229,0),7)</f>
        <v>#REF!</v>
      </c>
      <c r="E41" s="8" t="s">
        <v>348</v>
      </c>
      <c r="F41" s="9" t="str">
        <f t="array" aca="1" ref="F41" ca="1">IF(ISBLANK(G41),"",INDEX('SFSS import'!A$1:F$59,MATCH(G41,'SFSS import'!E$1:E$59,0),3))</f>
        <v>Marta Ferman</v>
      </c>
      <c r="G41" s="8" t="s">
        <v>349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12.75">
      <c r="A42" s="6" t="s">
        <v>247</v>
      </c>
      <c r="B42" s="6" t="s">
        <v>618</v>
      </c>
      <c r="C42" s="7" t="e">
        <f t="array" ref="C42">INDEX('Synergy import (8232022)'!A$1:L$229,MATCH(#REF!,'Synergy import (8232022)'!D$1:D$229,0),8)</f>
        <v>#REF!</v>
      </c>
      <c r="D42" s="7" t="e">
        <f t="array" ref="D42">INDEX('Synergy import (8232022)'!A$1:L$229,MATCH(#REF!,'Synergy import (8232022)'!D$1:D$229,0),7)</f>
        <v>#REF!</v>
      </c>
      <c r="E42" s="8" t="s">
        <v>619</v>
      </c>
      <c r="F42" s="9" t="str">
        <f t="array" aca="1" ref="F42" ca="1">IF(ISBLANK(G42),"",INDEX('SFSS import'!A$1:F$59,MATCH(G42,'SFSS import'!E$1:E$59,0),3))</f>
        <v>Marta Ferman</v>
      </c>
      <c r="G42" s="8" t="s">
        <v>349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12.75">
      <c r="A43" s="6" t="s">
        <v>45</v>
      </c>
      <c r="B43" s="6" t="s">
        <v>513</v>
      </c>
      <c r="C43" s="7" t="e">
        <f t="array" ref="C43">INDEX('Synergy import (8232022)'!A$1:L$229,MATCH(#REF!,'Synergy import (8232022)'!D$1:D$229,0),8)</f>
        <v>#REF!</v>
      </c>
      <c r="D43" s="7" t="e">
        <f t="array" ref="D43">INDEX('Synergy import (8232022)'!A$1:L$229,MATCH(#REF!,'Synergy import (8232022)'!D$1:D$229,0),7)</f>
        <v>#REF!</v>
      </c>
      <c r="E43" s="8" t="s">
        <v>514</v>
      </c>
      <c r="F43" s="9" t="str">
        <f t="array" aca="1" ref="F43" ca="1">IF(ISBLANK(G43),"",INDEX('SFSS import'!A$1:F$59,MATCH(G43,'SFSS import'!E$1:E$59,0),3))</f>
        <v>Eduardo Garduno Villa</v>
      </c>
      <c r="G43" s="8" t="s">
        <v>418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12.75">
      <c r="A44" s="6" t="s">
        <v>45</v>
      </c>
      <c r="B44" s="6" t="s">
        <v>616</v>
      </c>
      <c r="C44" s="7" t="e">
        <f t="array" ref="C44">INDEX('Synergy import (8232022)'!A$1:L$229,MATCH(#REF!,'Synergy import (8232022)'!D$1:D$229,0),8)</f>
        <v>#REF!</v>
      </c>
      <c r="D44" s="7" t="e">
        <f t="array" ref="D44">INDEX('Synergy import (8232022)'!A$1:L$229,MATCH(#REF!,'Synergy import (8232022)'!D$1:D$229,0),7)</f>
        <v>#REF!</v>
      </c>
      <c r="E44" s="8" t="s">
        <v>514</v>
      </c>
      <c r="F44" s="9" t="str">
        <f t="array" aca="1" ref="F44" ca="1">IF(ISBLANK(G44),"",INDEX('SFSS import'!A$1:F$59,MATCH(G44,'SFSS import'!E$1:E$59,0),3))</f>
        <v>Eduardo Garduno Villa</v>
      </c>
      <c r="G44" s="8" t="s">
        <v>418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12.75">
      <c r="A45" s="6" t="s">
        <v>45</v>
      </c>
      <c r="B45" s="6" t="s">
        <v>416</v>
      </c>
      <c r="C45" s="7" t="e">
        <f t="array" ref="C45">INDEX('Synergy import (8232022)'!A$1:L$229,MATCH(#REF!,'Synergy import (8232022)'!D$1:D$229,0),8)</f>
        <v>#REF!</v>
      </c>
      <c r="D45" s="7" t="e">
        <f t="array" ref="D45">INDEX('Synergy import (8232022)'!A$1:L$229,MATCH(#REF!,'Synergy import (8232022)'!D$1:D$229,0),7)</f>
        <v>#REF!</v>
      </c>
      <c r="E45" s="11" t="s">
        <v>417</v>
      </c>
      <c r="F45" s="9" t="str">
        <f t="array" aca="1" ref="F45" ca="1">IF(ISBLANK(G45),"",INDEX('SFSS import'!A$1:F$59,MATCH(G45,'SFSS import'!E$1:E$59,0),3))</f>
        <v>Eduardo Garduno Villa</v>
      </c>
      <c r="G45" s="11" t="s">
        <v>418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25.5">
      <c r="A46" s="6" t="s">
        <v>139</v>
      </c>
      <c r="B46" s="6" t="s">
        <v>606</v>
      </c>
      <c r="C46" s="7" t="e">
        <f t="array" ref="C46">INDEX('Synergy import (8232022)'!A$1:L$229,MATCH(#REF!,'Synergy import (8232022)'!D$1:D$229,0),8)</f>
        <v>#REF!</v>
      </c>
      <c r="D46" s="7" t="e">
        <f t="array" ref="D46">INDEX('Synergy import (8232022)'!A$1:L$229,MATCH(#REF!,'Synergy import (8232022)'!D$1:D$229,0),7)</f>
        <v>#REF!</v>
      </c>
      <c r="E46" s="8" t="s">
        <v>607</v>
      </c>
      <c r="F46" s="9" t="str">
        <f t="array" aca="1" ref="F46" ca="1">IF(ISBLANK(G46),"",INDEX('SFSS import'!A$1:F$59,MATCH(G46,'SFSS import'!E$1:E$59,0),3))</f>
        <v>Abba Gebrehiwot</v>
      </c>
      <c r="G46" s="8" t="s">
        <v>608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12.75">
      <c r="A47" s="6" t="s">
        <v>36</v>
      </c>
      <c r="B47" s="6" t="s">
        <v>113</v>
      </c>
      <c r="C47" s="7" t="e">
        <f t="array" ref="C47">INDEX('Synergy import (8232022)'!A$1:L$229,MATCH(#REF!,'Synergy import (8232022)'!D$1:D$229,0),8)</f>
        <v>#REF!</v>
      </c>
      <c r="D47" s="7" t="e">
        <f t="array" ref="D47">INDEX('Synergy import (8232022)'!A$1:L$229,MATCH(#REF!,'Synergy import (8232022)'!D$1:D$229,0),7)</f>
        <v>#REF!</v>
      </c>
      <c r="E47" s="11" t="s">
        <v>114</v>
      </c>
      <c r="F47" s="9" t="str">
        <f t="array" aca="1" ref="F47" ca="1">IF(ISBLANK(G47),"",INDEX('SFSS import'!A$1:F$59,MATCH(G47,'SFSS import'!E$1:E$59,0),3))</f>
        <v>Jade Gilchrist</v>
      </c>
      <c r="G47" s="11" t="s">
        <v>115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12.75">
      <c r="A48" s="6" t="s">
        <v>36</v>
      </c>
      <c r="B48" s="6" t="s">
        <v>309</v>
      </c>
      <c r="C48" s="7" t="e">
        <f t="array" ref="C48">INDEX('Synergy import (8232022)'!A$1:L$229,MATCH(#REF!,'Synergy import (8232022)'!D$1:D$229,0),8)</f>
        <v>#REF!</v>
      </c>
      <c r="D48" s="7" t="e">
        <f t="array" ref="D48">INDEX('Synergy import (8232022)'!A$1:L$229,MATCH(#REF!,'Synergy import (8232022)'!D$1:D$229,0),7)</f>
        <v>#REF!</v>
      </c>
      <c r="E48" s="19" t="s">
        <v>114</v>
      </c>
      <c r="F48" s="9" t="str">
        <f t="array" aca="1" ref="F48" ca="1">IF(ISBLANK(G48),"",INDEX('SFSS import'!A$1:F$59,MATCH(G48,'SFSS import'!E$1:E$59,0),3))</f>
        <v>Jade Gilchrist</v>
      </c>
      <c r="G48" s="19" t="s">
        <v>115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ht="12.75">
      <c r="A49" s="6" t="s">
        <v>36</v>
      </c>
      <c r="B49" s="6" t="s">
        <v>469</v>
      </c>
      <c r="C49" s="7" t="e">
        <f t="array" ref="C49">INDEX('Synergy import (8232022)'!A$1:L$229,MATCH(#REF!,'Synergy import (8232022)'!D$1:D$229,0),8)</f>
        <v>#REF!</v>
      </c>
      <c r="D49" s="7" t="e">
        <f t="array" ref="D49">INDEX('Synergy import (8232022)'!A$1:L$229,MATCH(#REF!,'Synergy import (8232022)'!D$1:D$229,0),7)</f>
        <v>#REF!</v>
      </c>
      <c r="E49" s="101" t="s">
        <v>114</v>
      </c>
      <c r="F49" s="9" t="str">
        <f t="array" aca="1" ref="F49" ca="1">IF(ISBLANK(G49),"",INDEX('SFSS import'!A$1:F$59,MATCH(G49,'SFSS import'!E$1:E$59,0),3))</f>
        <v>Jade Gilchrist</v>
      </c>
      <c r="G49" s="101" t="s">
        <v>115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ht="12.75">
      <c r="A50" s="6" t="s">
        <v>284</v>
      </c>
      <c r="B50" s="6" t="s">
        <v>285</v>
      </c>
      <c r="C50" s="7" t="e">
        <f t="array" ref="C50">INDEX('Synergy import (8232022)'!A$1:L$229,MATCH(#REF!,'Synergy import (8232022)'!D$1:D$229,0),8)</f>
        <v>#REF!</v>
      </c>
      <c r="D50" s="7" t="e">
        <f t="array" ref="D50">INDEX('Synergy import (8232022)'!A$1:L$229,MATCH(#REF!,'Synergy import (8232022)'!D$1:D$229,0),7)</f>
        <v>#REF!</v>
      </c>
      <c r="E50" s="8" t="s">
        <v>287</v>
      </c>
      <c r="F50" s="9" t="str">
        <f t="array" aca="1" ref="F50" ca="1">IF(ISBLANK(G50),"",INDEX('SFSS import'!A$1:F$59,MATCH(G50,'SFSS import'!E$1:E$59,0),3))</f>
        <v>Veronica Gonzalez</v>
      </c>
      <c r="G50" s="8" t="s">
        <v>288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ht="12.75">
      <c r="A51" s="6" t="s">
        <v>284</v>
      </c>
      <c r="B51" s="6" t="s">
        <v>352</v>
      </c>
      <c r="C51" s="7" t="e">
        <f t="array" ref="C51">INDEX('Synergy import (8232022)'!A$1:L$229,MATCH(#REF!,'Synergy import (8232022)'!D$1:D$229,0),8)</f>
        <v>#REF!</v>
      </c>
      <c r="D51" s="7" t="e">
        <f t="array" ref="D51">INDEX('Synergy import (8232022)'!A$1:L$229,MATCH(#REF!,'Synergy import (8232022)'!D$1:D$229,0),7)</f>
        <v>#REF!</v>
      </c>
      <c r="E51" s="8" t="s">
        <v>287</v>
      </c>
      <c r="F51" s="9" t="str">
        <f t="array" aca="1" ref="F51" ca="1">IF(ISBLANK(G51),"",INDEX('SFSS import'!A$1:F$59,MATCH(G51,'SFSS import'!E$1:E$59,0),3))</f>
        <v>Veronica Gonzalez</v>
      </c>
      <c r="G51" s="8" t="s">
        <v>288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1:18" ht="12.75">
      <c r="A52" s="6" t="s">
        <v>247</v>
      </c>
      <c r="B52" s="6" t="s">
        <v>541</v>
      </c>
      <c r="C52" s="7" t="e">
        <f t="array" ref="C52">INDEX('Synergy import (8232022)'!A$1:L$229,MATCH(#REF!,'Synergy import (8232022)'!D$1:D$229,0),8)</f>
        <v>#REF!</v>
      </c>
      <c r="D52" s="7" t="e">
        <f t="array" ref="D52">INDEX('Synergy import (8232022)'!A$1:L$229,MATCH(#REF!,'Synergy import (8232022)'!D$1:D$229,0),7)</f>
        <v>#REF!</v>
      </c>
      <c r="E52" s="11" t="s">
        <v>287</v>
      </c>
      <c r="F52" s="9" t="str">
        <f t="array" aca="1" ref="F52" ca="1">IF(ISBLANK(G52),"",INDEX('SFSS import'!A$1:F$59,MATCH(G52,'SFSS import'!E$1:E$59,0),3))</f>
        <v>Veronica Gonzalez</v>
      </c>
      <c r="G52" s="11" t="s">
        <v>288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1:18" ht="12.75">
      <c r="A53" s="6" t="s">
        <v>36</v>
      </c>
      <c r="B53" s="6" t="s">
        <v>37</v>
      </c>
      <c r="C53" s="7" t="e">
        <f t="array" ref="C53">INDEX('Synergy import (8232022)'!A$1:L$229,MATCH(#REF!,'Synergy import (8232022)'!D$1:D$229,0),8)</f>
        <v>#REF!</v>
      </c>
      <c r="D53" s="7" t="e">
        <f t="array" ref="D53">INDEX('Synergy import (8232022)'!A$1:L$229,MATCH(#REF!,'Synergy import (8232022)'!D$1:D$229,0),7)</f>
        <v>#REF!</v>
      </c>
      <c r="E53" s="11" t="s">
        <v>39</v>
      </c>
      <c r="F53" s="9" t="str">
        <f t="array" aca="1" ref="F53" ca="1">IF(ISBLANK(G53),"",INDEX('SFSS import'!A$1:F$59,MATCH(G53,'SFSS import'!E$1:E$59,0),3))</f>
        <v>Deneen Gordon</v>
      </c>
      <c r="G53" s="11" t="s">
        <v>40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1:18" ht="12.75">
      <c r="A54" s="6" t="s">
        <v>139</v>
      </c>
      <c r="B54" s="6" t="s">
        <v>140</v>
      </c>
      <c r="C54" s="7" t="e">
        <f t="array" ref="C54">INDEX('Synergy import (8232022)'!A$1:L$229,MATCH(#REF!,'Synergy import (8232022)'!D$1:D$229,0),8)</f>
        <v>#REF!</v>
      </c>
      <c r="D54" s="7" t="e">
        <f t="array" ref="D54">INDEX('Synergy import (8232022)'!A$1:L$229,MATCH(#REF!,'Synergy import (8232022)'!D$1:D$229,0),7)</f>
        <v>#REF!</v>
      </c>
      <c r="E54" s="8" t="s">
        <v>39</v>
      </c>
      <c r="F54" s="9" t="str">
        <f t="array" aca="1" ref="F54" ca="1">IF(ISBLANK(G54),"",INDEX('SFSS import'!A$1:F$59,MATCH(G54,'SFSS import'!E$1:E$59,0),3))</f>
        <v>Deneen Gordon</v>
      </c>
      <c r="G54" s="8" t="s">
        <v>40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1:18" ht="12.75">
      <c r="A55" s="6" t="s">
        <v>36</v>
      </c>
      <c r="B55" s="6" t="s">
        <v>263</v>
      </c>
      <c r="C55" s="7" t="e">
        <f t="array" ref="C55">INDEX('Synergy import (8232022)'!A$1:L$229,MATCH(#REF!,'Synergy import (8232022)'!D$1:D$229,0),8)</f>
        <v>#REF!</v>
      </c>
      <c r="D55" s="7" t="e">
        <f t="array" ref="D55">INDEX('Synergy import (8232022)'!A$1:L$229,MATCH(#REF!,'Synergy import (8232022)'!D$1:D$229,0),7)</f>
        <v>#REF!</v>
      </c>
      <c r="E55" s="11" t="s">
        <v>39</v>
      </c>
      <c r="F55" s="9" t="str">
        <f t="array" aca="1" ref="F55" ca="1">IF(ISBLANK(G55),"",INDEX('SFSS import'!A$1:F$59,MATCH(G55,'SFSS import'!E$1:E$59,0),3))</f>
        <v>Deneen Gordon</v>
      </c>
      <c r="G55" s="11" t="s">
        <v>40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1:18" ht="12.75">
      <c r="A56" s="6" t="s">
        <v>101</v>
      </c>
      <c r="B56" s="6" t="s">
        <v>102</v>
      </c>
      <c r="C56" s="7" t="e">
        <f t="array" ref="C56">INDEX('Synergy import (8232022)'!A$1:L$229,MATCH(#REF!,'Synergy import (8232022)'!D$1:D$229,0),8)</f>
        <v>#REF!</v>
      </c>
      <c r="D56" s="7" t="e">
        <f t="array" ref="D56">INDEX('Synergy import (8232022)'!A$1:L$229,MATCH(#REF!,'Synergy import (8232022)'!D$1:D$229,0),7)</f>
        <v>#REF!</v>
      </c>
      <c r="E56" s="19" t="s">
        <v>103</v>
      </c>
      <c r="F56" s="9" t="str">
        <f t="array" aca="1" ref="F56" ca="1">IF(ISBLANK(G56),"",INDEX('SFSS import'!A$1:F$59,MATCH(G56,'SFSS import'!E$1:E$59,0),3))</f>
        <v>Crystal Granados</v>
      </c>
      <c r="G56" s="19" t="s">
        <v>104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1:18" ht="12.75">
      <c r="A57" s="6" t="s">
        <v>139</v>
      </c>
      <c r="B57" s="6" t="s">
        <v>220</v>
      </c>
      <c r="C57" s="7" t="e">
        <f t="array" ref="C57">INDEX('Synergy import (8232022)'!A$1:L$229,MATCH(#REF!,'Synergy import (8232022)'!D$1:D$229,0),8)</f>
        <v>#REF!</v>
      </c>
      <c r="D57" s="7" t="e">
        <f t="array" ref="D57">INDEX('Synergy import (8232022)'!A$1:L$229,MATCH(#REF!,'Synergy import (8232022)'!D$1:D$229,0),7)</f>
        <v>#REF!</v>
      </c>
      <c r="E57" s="16" t="s">
        <v>103</v>
      </c>
      <c r="F57" s="9" t="str">
        <f t="array" aca="1" ref="F57" ca="1">IF(ISBLANK(G57),"",INDEX('SFSS import'!A$1:F$59,MATCH(G57,'SFSS import'!E$1:E$59,0),3))</f>
        <v>Crystal Granados</v>
      </c>
      <c r="G57" s="16" t="s">
        <v>104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1:18" ht="21.75" customHeight="1">
      <c r="A58" s="6" t="s">
        <v>139</v>
      </c>
      <c r="B58" s="6" t="s">
        <v>521</v>
      </c>
      <c r="C58" s="7" t="e">
        <f t="array" ref="C58">INDEX('Synergy import (8232022)'!A$1:L$229,MATCH(#REF!,'Synergy import (8232022)'!D$1:D$229,0),8)</f>
        <v>#REF!</v>
      </c>
      <c r="D58" s="7" t="e">
        <f t="array" ref="D58">INDEX('Synergy import (8232022)'!A$1:L$229,MATCH(#REF!,'Synergy import (8232022)'!D$1:D$229,0),7)</f>
        <v>#REF!</v>
      </c>
      <c r="E58" s="8" t="s">
        <v>103</v>
      </c>
      <c r="F58" s="9" t="str">
        <f t="array" aca="1" ref="F58" ca="1">IF(ISBLANK(G58),"",INDEX('SFSS import'!A$1:F$59,MATCH(G58,'SFSS import'!E$1:E$59,0),3))</f>
        <v>Crystal Granados</v>
      </c>
      <c r="G58" s="8" t="s">
        <v>104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1:18" ht="12.75">
      <c r="A59" s="6" t="s">
        <v>74</v>
      </c>
      <c r="B59" s="6" t="s">
        <v>75</v>
      </c>
      <c r="C59" s="7" t="e">
        <f t="array" ref="C59">INDEX('Synergy import (8232022)'!A$1:L$229,MATCH(#REF!,'Synergy import (8232022)'!D$1:D$229,0),8)</f>
        <v>#REF!</v>
      </c>
      <c r="D59" s="7" t="e">
        <f t="array" ref="D59">INDEX('Synergy import (8232022)'!A$1:L$229,MATCH(#REF!,'Synergy import (8232022)'!D$1:D$229,0),7)</f>
        <v>#REF!</v>
      </c>
      <c r="E59" s="11" t="s">
        <v>77</v>
      </c>
      <c r="F59" s="9" t="str">
        <f t="array" aca="1" ref="F59" ca="1">IF(ISBLANK(G59),"",INDEX('SFSS import'!A$1:F$59,MATCH(G59,'SFSS import'!E$1:E$59,0),3))</f>
        <v>Elia Haza</v>
      </c>
      <c r="G59" s="11" t="s">
        <v>78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1:18" ht="12.75">
      <c r="A60" s="6" t="s">
        <v>45</v>
      </c>
      <c r="B60" s="6" t="s">
        <v>408</v>
      </c>
      <c r="C60" s="7" t="e">
        <f t="array" ref="C60">INDEX('Synergy import (8232022)'!A$1:L$229,MATCH(#REF!,'Synergy import (8232022)'!D$1:D$229,0),8)</f>
        <v>#REF!</v>
      </c>
      <c r="D60" s="7" t="e">
        <f t="array" ref="D60">INDEX('Synergy import (8232022)'!A$1:L$229,MATCH(#REF!,'Synergy import (8232022)'!D$1:D$229,0),7)</f>
        <v>#REF!</v>
      </c>
      <c r="E60" s="11" t="s">
        <v>410</v>
      </c>
      <c r="F60" s="9" t="str">
        <f t="array" aca="1" ref="F60" ca="1">IF(ISBLANK(G60),"",INDEX('SFSS import'!A$1:F$59,MATCH(G60,'SFSS import'!E$1:E$59,0),3))</f>
        <v>Saida Hentati</v>
      </c>
      <c r="G60" s="11" t="s">
        <v>411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1:18" ht="12.75">
      <c r="A61" s="6" t="s">
        <v>429</v>
      </c>
      <c r="B61" s="6" t="s">
        <v>546</v>
      </c>
      <c r="C61" s="7" t="e">
        <f t="array" ref="C61">INDEX('Synergy import (8232022)'!A$1:L$229,MATCH(#REF!,'Synergy import (8232022)'!D$1:D$229,0),8)</f>
        <v>#REF!</v>
      </c>
      <c r="D61" s="7" t="e">
        <f t="array" ref="D61">INDEX('Synergy import (8232022)'!A$1:L$229,MATCH(#REF!,'Synergy import (8232022)'!D$1:D$229,0),7)</f>
        <v>#REF!</v>
      </c>
      <c r="E61" s="11" t="s">
        <v>548</v>
      </c>
      <c r="F61" s="9" t="str">
        <f t="array" aca="1" ref="F61" ca="1">IF(ISBLANK(G61),"",INDEX('SFSS import'!A$1:F$59,MATCH(G61,'SFSS import'!E$1:E$59,0),3))</f>
        <v>Dary Herrera-Jurado</v>
      </c>
      <c r="G61" s="11" t="s">
        <v>432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1:18" ht="12.75">
      <c r="A62" s="6" t="s">
        <v>429</v>
      </c>
      <c r="B62" s="6" t="s">
        <v>582</v>
      </c>
      <c r="C62" s="7" t="e">
        <f t="array" ref="C62">INDEX('Synergy import (8232022)'!A$1:L$229,MATCH(#REF!,'Synergy import (8232022)'!D$1:D$229,0),8)</f>
        <v>#REF!</v>
      </c>
      <c r="D62" s="7" t="e">
        <f t="array" ref="D62">INDEX('Synergy import (8232022)'!A$1:L$229,MATCH(#REF!,'Synergy import (8232022)'!D$1:D$229,0),7)</f>
        <v>#REF!</v>
      </c>
      <c r="E62" s="11" t="s">
        <v>548</v>
      </c>
      <c r="F62" s="9" t="str">
        <f t="array" aca="1" ref="F62" ca="1">IF(ISBLANK(G62),"",INDEX('SFSS import'!A$1:F$59,MATCH(G62,'SFSS import'!E$1:E$59,0),3))</f>
        <v>Dary Herrera-Jurado</v>
      </c>
      <c r="G62" s="11" t="s">
        <v>432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1:18" ht="12.75">
      <c r="A63" s="6" t="s">
        <v>429</v>
      </c>
      <c r="B63" s="6" t="s">
        <v>430</v>
      </c>
      <c r="C63" s="7" t="e">
        <f t="array" ref="C63">INDEX('Synergy import (8232022)'!A$1:L$229,MATCH(#REF!,'Synergy import (8232022)'!D$1:D$229,0),8)</f>
        <v>#REF!</v>
      </c>
      <c r="D63" s="7" t="e">
        <f t="array" ref="D63">INDEX('Synergy import (8232022)'!A$1:L$229,MATCH(#REF!,'Synergy import (8232022)'!D$1:D$229,0),7)</f>
        <v>#REF!</v>
      </c>
      <c r="E63" s="11" t="s">
        <v>431</v>
      </c>
      <c r="F63" s="9" t="str">
        <f t="array" aca="1" ref="F63" ca="1">IF(ISBLANK(G63),"",INDEX('SFSS import'!A$1:F$59,MATCH(G63,'SFSS import'!E$1:E$59,0),3))</f>
        <v>Dary Herrera-Jurado</v>
      </c>
      <c r="G63" s="11" t="s">
        <v>432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1:18" ht="12.75">
      <c r="A64" s="6" t="s">
        <v>92</v>
      </c>
      <c r="B64" s="6" t="s">
        <v>237</v>
      </c>
      <c r="C64" s="7" t="e">
        <f t="array" ref="C64">INDEX('Synergy import (8232022)'!A$1:L$229,MATCH(#REF!,'Synergy import (8232022)'!D$1:D$229,0),8)</f>
        <v>#REF!</v>
      </c>
      <c r="D64" s="7" t="e">
        <f t="array" ref="D64">INDEX('Synergy import (8232022)'!A$1:L$229,MATCH(#REF!,'Synergy import (8232022)'!D$1:D$229,0),7)</f>
        <v>#REF!</v>
      </c>
      <c r="E64" s="11" t="s">
        <v>238</v>
      </c>
      <c r="F64" s="9" t="str">
        <f t="array" aca="1" ref="F64" ca="1">IF(ISBLANK(G64),"",INDEX('SFSS import'!A$1:F$59,MATCH(G64,'SFSS import'!E$1:E$59,0),3))</f>
        <v>Theresa Huynh</v>
      </c>
      <c r="G64" s="11" t="s">
        <v>13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1:18" ht="12.75">
      <c r="A65" s="6" t="s">
        <v>10</v>
      </c>
      <c r="B65" s="6" t="s">
        <v>11</v>
      </c>
      <c r="C65" s="7" t="e">
        <f t="array" ref="C65">INDEX('Synergy import (8232022)'!A$1:L$229,MATCH(#REF!,'Synergy import (8232022)'!D$1:D$229,0),8)</f>
        <v>#REF!</v>
      </c>
      <c r="D65" s="7" t="e">
        <f t="array" ref="D65">INDEX('Synergy import (8232022)'!A$1:L$229,MATCH(#REF!,'Synergy import (8232022)'!D$1:D$229,0),7)</f>
        <v>#REF!</v>
      </c>
      <c r="E65" s="11" t="s">
        <v>12</v>
      </c>
      <c r="F65" s="9" t="str">
        <f t="array" aca="1" ref="F65" ca="1">IF(ISBLANK(G65),"",INDEX('SFSS import'!A$1:F$59,MATCH(G65,'SFSS import'!E$1:E$59,0),3))</f>
        <v>Theresa Huynh</v>
      </c>
      <c r="G65" s="19" t="s">
        <v>13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1:18" ht="12.75">
      <c r="A66" s="6" t="s">
        <v>291</v>
      </c>
      <c r="B66" s="6" t="s">
        <v>299</v>
      </c>
      <c r="C66" s="7" t="e">
        <f t="array" ref="C66">INDEX('Synergy import (8232022)'!A$1:L$229,MATCH(#REF!,'Synergy import (8232022)'!D$1:D$229,0),8)</f>
        <v>#REF!</v>
      </c>
      <c r="D66" s="7" t="e">
        <f t="array" ref="D66">INDEX('Synergy import (8232022)'!A$1:L$229,MATCH(#REF!,'Synergy import (8232022)'!D$1:D$229,0),7)</f>
        <v>#REF!</v>
      </c>
      <c r="E66" s="8" t="s">
        <v>300</v>
      </c>
      <c r="F66" s="9" t="str">
        <f t="array" aca="1" ref="F66" ca="1">IF(ISBLANK(G66),"",INDEX('SFSS import'!A$1:F$59,MATCH(G66,'SFSS import'!E$1:E$59,0),3))</f>
        <v>Alejandra Jarquin</v>
      </c>
      <c r="G66" s="8" t="s">
        <v>301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ht="12.75">
      <c r="A67" s="6" t="s">
        <v>291</v>
      </c>
      <c r="B67" s="6" t="s">
        <v>304</v>
      </c>
      <c r="C67" s="7" t="e">
        <f t="array" ref="C67">INDEX('Synergy import (8232022)'!A$1:L$229,MATCH(#REF!,'Synergy import (8232022)'!D$1:D$229,0),8)</f>
        <v>#REF!</v>
      </c>
      <c r="D67" s="7" t="e">
        <f t="array" ref="D67">INDEX('Synergy import (8232022)'!A$1:L$229,MATCH(#REF!,'Synergy import (8232022)'!D$1:D$229,0),7)</f>
        <v>#REF!</v>
      </c>
      <c r="E67" s="11" t="s">
        <v>300</v>
      </c>
      <c r="F67" s="9" t="str">
        <f t="array" aca="1" ref="F67" ca="1">IF(ISBLANK(G67),"",INDEX('SFSS import'!A$1:F$59,MATCH(G67,'SFSS import'!E$1:E$59,0),3))</f>
        <v>Alejandra Jarquin</v>
      </c>
      <c r="G67" s="11" t="s">
        <v>301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1:18" ht="12.75">
      <c r="A68" s="6" t="s">
        <v>291</v>
      </c>
      <c r="B68" s="6" t="s">
        <v>308</v>
      </c>
      <c r="C68" s="7" t="e">
        <f t="array" ref="C68">INDEX('Synergy import (8232022)'!A$1:L$229,MATCH(#REF!,'Synergy import (8232022)'!D$1:D$229,0),8)</f>
        <v>#REF!</v>
      </c>
      <c r="D68" s="7" t="e">
        <f t="array" ref="D68">INDEX('Synergy import (8232022)'!A$1:L$229,MATCH(#REF!,'Synergy import (8232022)'!D$1:D$229,0),7)</f>
        <v>#REF!</v>
      </c>
      <c r="E68" s="11" t="s">
        <v>300</v>
      </c>
      <c r="F68" s="9" t="str">
        <f t="array" aca="1" ref="F68" ca="1">IF(ISBLANK(G68),"",INDEX('SFSS import'!A$1:F$59,MATCH(G68,'SFSS import'!E$1:E$59,0),3))</f>
        <v>Alejandra Jarquin</v>
      </c>
      <c r="G68" s="11" t="s">
        <v>301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 ht="12.75">
      <c r="A69" s="6" t="s">
        <v>92</v>
      </c>
      <c r="B69" s="6" t="s">
        <v>445</v>
      </c>
      <c r="C69" s="7" t="e">
        <f t="array" ref="C69">INDEX('Synergy import (8232022)'!A$1:L$229,MATCH(#REF!,'Synergy import (8232022)'!D$1:D$229,0),8)</f>
        <v>#REF!</v>
      </c>
      <c r="D69" s="7" t="e">
        <f t="array" ref="D69">INDEX('Synergy import (8232022)'!A$1:L$229,MATCH(#REF!,'Synergy import (8232022)'!D$1:D$229,0),7)</f>
        <v>#REF!</v>
      </c>
      <c r="E69" s="17" t="s">
        <v>2674</v>
      </c>
      <c r="F69" s="9" t="e">
        <f t="array" aca="1" ref="F69" ca="1">IF(ISBLANK(G69),"",INDEX('SFSS import'!A$1:F$59,MATCH(G69,'SFSS import'!E$1:E$59,0),3))</f>
        <v>#N/A</v>
      </c>
      <c r="G69" s="102" t="s">
        <v>2675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1:18" ht="12.75">
      <c r="A70" s="6" t="s">
        <v>92</v>
      </c>
      <c r="B70" s="6" t="s">
        <v>464</v>
      </c>
      <c r="C70" s="7" t="e">
        <f t="array" ref="C70">INDEX('Synergy import (8232022)'!A$1:L$229,MATCH(#REF!,'Synergy import (8232022)'!D$1:D$229,0),8)</f>
        <v>#REF!</v>
      </c>
      <c r="D70" s="7" t="e">
        <f t="array" ref="D70">INDEX('Synergy import (8232022)'!A$1:L$229,MATCH(#REF!,'Synergy import (8232022)'!D$1:D$229,0),7)</f>
        <v>#REF!</v>
      </c>
      <c r="E70" s="17" t="s">
        <v>2674</v>
      </c>
      <c r="F70" s="9" t="e">
        <f t="array" aca="1" ref="F70" ca="1">IF(ISBLANK(G70),"",INDEX('SFSS import'!A$1:F$59,MATCH(G70,'SFSS import'!E$1:E$59,0),3))</f>
        <v>#N/A</v>
      </c>
      <c r="G70" s="102" t="s">
        <v>2675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ht="12.75">
      <c r="A71" s="6" t="s">
        <v>122</v>
      </c>
      <c r="B71" s="6" t="s">
        <v>577</v>
      </c>
      <c r="C71" s="7" t="e">
        <f t="array" ref="C71">INDEX('Synergy import (8232022)'!A$1:L$229,MATCH(#REF!,'Synergy import (8232022)'!D$1:D$229,0),8)</f>
        <v>#REF!</v>
      </c>
      <c r="D71" s="7" t="e">
        <f t="array" ref="D71">INDEX('Synergy import (8232022)'!A$1:L$229,MATCH(#REF!,'Synergy import (8232022)'!D$1:D$229,0),7)</f>
        <v>#REF!</v>
      </c>
      <c r="E71" s="17" t="s">
        <v>2674</v>
      </c>
      <c r="F71" s="9" t="e">
        <f t="array" aca="1" ref="F71" ca="1">IF(ISBLANK(G71),"",INDEX('SFSS import'!A$1:F$59,MATCH(G71,'SFSS import'!E$1:E$59,0),3))</f>
        <v>#N/A</v>
      </c>
      <c r="G71" s="102" t="s">
        <v>2675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1:18" ht="12.75">
      <c r="A72" s="6" t="s">
        <v>122</v>
      </c>
      <c r="B72" s="6" t="s">
        <v>534</v>
      </c>
      <c r="C72" s="7" t="e">
        <f t="array" ref="C72">INDEX('Synergy import (8232022)'!A$1:L$229,MATCH(#REF!,'Synergy import (8232022)'!D$1:D$229,0),8)</f>
        <v>#REF!</v>
      </c>
      <c r="D72" s="7" t="e">
        <f t="array" ref="D72">INDEX('Synergy import (8232022)'!A$1:L$229,MATCH(#REF!,'Synergy import (8232022)'!D$1:D$229,0),7)</f>
        <v>#REF!</v>
      </c>
      <c r="E72" s="8" t="s">
        <v>535</v>
      </c>
      <c r="F72" s="9" t="str">
        <f t="array" aca="1" ref="F72" ca="1">IF(ISBLANK(G72),"",INDEX('SFSS import'!A$1:F$59,MATCH(G72,'SFSS import'!E$1:E$59,0),3))</f>
        <v>Abebe Kassaye</v>
      </c>
      <c r="G72" s="8" t="s">
        <v>536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1:18" ht="12.75">
      <c r="A73" s="6" t="s">
        <v>122</v>
      </c>
      <c r="B73" s="6" t="s">
        <v>590</v>
      </c>
      <c r="C73" s="7" t="e">
        <f t="array" ref="C73">INDEX('Synergy import (8232022)'!A$1:L$229,MATCH(#REF!,'Synergy import (8232022)'!D$1:D$229,0),8)</f>
        <v>#REF!</v>
      </c>
      <c r="D73" s="7" t="e">
        <f t="array" ref="D73">INDEX('Synergy import (8232022)'!A$1:L$229,MATCH(#REF!,'Synergy import (8232022)'!D$1:D$229,0),7)</f>
        <v>#REF!</v>
      </c>
      <c r="E73" s="8" t="s">
        <v>535</v>
      </c>
      <c r="F73" s="9" t="str">
        <f t="array" aca="1" ref="F73" ca="1">IF(ISBLANK(G73),"",INDEX('SFSS import'!A$1:F$59,MATCH(G73,'SFSS import'!E$1:E$59,0),3))</f>
        <v>Abebe Kassaye</v>
      </c>
      <c r="G73" s="8" t="s">
        <v>536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1:18" ht="12.75">
      <c r="A74" s="6" t="s">
        <v>122</v>
      </c>
      <c r="B74" s="6" t="s">
        <v>603</v>
      </c>
      <c r="C74" s="7" t="e">
        <f t="array" ref="C74">INDEX('Synergy import (8232022)'!A$1:L$229,MATCH(#REF!,'Synergy import (8232022)'!D$1:D$229,0),8)</f>
        <v>#REF!</v>
      </c>
      <c r="D74" s="7" t="e">
        <f t="array" ref="D74">INDEX('Synergy import (8232022)'!A$1:L$229,MATCH(#REF!,'Synergy import (8232022)'!D$1:D$229,0),7)</f>
        <v>#REF!</v>
      </c>
      <c r="E74" s="8" t="s">
        <v>535</v>
      </c>
      <c r="F74" s="9" t="str">
        <f t="array" aca="1" ref="F74" ca="1">IF(ISBLANK(G74),"",INDEX('SFSS import'!A$1:F$59,MATCH(G74,'SFSS import'!E$1:E$59,0),3))</f>
        <v>Abebe Kassaye</v>
      </c>
      <c r="G74" s="8" t="s">
        <v>536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2.75">
      <c r="A75" s="6" t="s">
        <v>29</v>
      </c>
      <c r="B75" s="6" t="s">
        <v>30</v>
      </c>
      <c r="C75" s="7" t="e">
        <f t="array" ref="C75">INDEX('Synergy import (8232022)'!A$1:L$229,MATCH(#REF!,'Synergy import (8232022)'!D$1:D$229,0),8)</f>
        <v>#REF!</v>
      </c>
      <c r="D75" s="7" t="e">
        <f t="array" ref="D75">INDEX('Synergy import (8232022)'!A$1:L$229,MATCH(#REF!,'Synergy import (8232022)'!D$1:D$229,0),7)</f>
        <v>#REF!</v>
      </c>
      <c r="E75" s="8" t="s">
        <v>32</v>
      </c>
      <c r="F75" s="9" t="str">
        <f t="array" aca="1" ref="F75" ca="1">IF(ISBLANK(G75),"",INDEX('SFSS import'!A$1:F$59,MATCH(G75,'SFSS import'!E$1:E$59,0),3))</f>
        <v>Molly Kim</v>
      </c>
      <c r="G75" s="8" t="s">
        <v>33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1:18" ht="12.75">
      <c r="A76" s="6" t="s">
        <v>29</v>
      </c>
      <c r="B76" s="6" t="s">
        <v>515</v>
      </c>
      <c r="C76" s="7" t="e">
        <f t="array" ref="C76">INDEX('Synergy import (8232022)'!A$1:L$229,MATCH(#REF!,'Synergy import (8232022)'!D$1:D$229,0),8)</f>
        <v>#REF!</v>
      </c>
      <c r="D76" s="7" t="e">
        <f t="array" ref="D76">INDEX('Synergy import (8232022)'!A$1:L$229,MATCH(#REF!,'Synergy import (8232022)'!D$1:D$229,0),7)</f>
        <v>#REF!</v>
      </c>
      <c r="E76" s="11" t="s">
        <v>32</v>
      </c>
      <c r="F76" s="9" t="str">
        <f t="array" aca="1" ref="F76" ca="1">IF(ISBLANK(G76),"",INDEX('SFSS import'!A$1:F$59,MATCH(G76,'SFSS import'!E$1:E$59,0),3))</f>
        <v>Molly Kim</v>
      </c>
      <c r="G76" s="11" t="s">
        <v>33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1:18" ht="12.75">
      <c r="A77" s="6" t="s">
        <v>139</v>
      </c>
      <c r="B77" s="6" t="s">
        <v>357</v>
      </c>
      <c r="C77" s="7" t="e">
        <f t="array" ref="C77">INDEX('Synergy import (8232022)'!A$1:L$229,MATCH(#REF!,'Synergy import (8232022)'!D$1:D$229,0),8)</f>
        <v>#REF!</v>
      </c>
      <c r="D77" s="7" t="e">
        <f t="array" ref="D77">INDEX('Synergy import (8232022)'!A$1:L$229,MATCH(#REF!,'Synergy import (8232022)'!D$1:D$229,0),7)</f>
        <v>#REF!</v>
      </c>
      <c r="E77" s="19" t="s">
        <v>358</v>
      </c>
      <c r="F77" s="9" t="str">
        <f t="array" aca="1" ref="F77" ca="1">IF(ISBLANK(G77),"",INDEX('SFSS import'!A$1:F$59,MATCH(G77,'SFSS import'!E$1:E$59,0),3))</f>
        <v>Luz Lambert</v>
      </c>
      <c r="G77" s="19" t="s">
        <v>359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1:18" ht="12.75">
      <c r="A78" s="6" t="s">
        <v>139</v>
      </c>
      <c r="B78" s="6" t="s">
        <v>549</v>
      </c>
      <c r="C78" s="7" t="e">
        <f t="array" ref="C78">INDEX('Synergy import (8232022)'!A$1:L$229,MATCH(#REF!,'Synergy import (8232022)'!D$1:D$229,0),8)</f>
        <v>#REF!</v>
      </c>
      <c r="D78" s="7" t="e">
        <f t="array" ref="D78">INDEX('Synergy import (8232022)'!A$1:L$229,MATCH(#REF!,'Synergy import (8232022)'!D$1:D$229,0),7)</f>
        <v>#REF!</v>
      </c>
      <c r="E78" s="19" t="s">
        <v>358</v>
      </c>
      <c r="F78" s="9" t="str">
        <f t="array" aca="1" ref="F78" ca="1">IF(ISBLANK(G78),"",INDEX('SFSS import'!A$1:F$59,MATCH(G78,'SFSS import'!E$1:E$59,0),3))</f>
        <v>Luz Lambert</v>
      </c>
      <c r="G78" s="19" t="s">
        <v>359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2.75">
      <c r="A79" s="6" t="s">
        <v>139</v>
      </c>
      <c r="B79" s="6" t="s">
        <v>596</v>
      </c>
      <c r="C79" s="7" t="e">
        <f t="array" ref="C79">INDEX('Synergy import (8232022)'!A$1:L$229,MATCH(#REF!,'Synergy import (8232022)'!D$1:D$229,0),8)</f>
        <v>#REF!</v>
      </c>
      <c r="D79" s="7" t="e">
        <f t="array" ref="D79">INDEX('Synergy import (8232022)'!A$1:L$229,MATCH(#REF!,'Synergy import (8232022)'!D$1:D$229,0),7)</f>
        <v>#REF!</v>
      </c>
      <c r="E79" s="19" t="s">
        <v>358</v>
      </c>
      <c r="F79" s="9" t="str">
        <f t="array" aca="1" ref="F79" ca="1">IF(ISBLANK(G79),"",INDEX('SFSS import'!A$1:F$59,MATCH(G79,'SFSS import'!E$1:E$59,0),3))</f>
        <v>Luz Lambert</v>
      </c>
      <c r="G79" s="19" t="s">
        <v>359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2.75">
      <c r="A80" s="6" t="s">
        <v>36</v>
      </c>
      <c r="B80" s="6" t="s">
        <v>145</v>
      </c>
      <c r="C80" s="7" t="e">
        <f t="array" ref="C80">INDEX('Synergy import (8232022)'!A$1:L$229,MATCH(#REF!,'Synergy import (8232022)'!D$1:D$229,0),8)</f>
        <v>#REF!</v>
      </c>
      <c r="D80" s="7" t="e">
        <f t="array" ref="D80">INDEX('Synergy import (8232022)'!A$1:L$229,MATCH(#REF!,'Synergy import (8232022)'!D$1:D$229,0),7)</f>
        <v>#REF!</v>
      </c>
      <c r="E80" s="8" t="s">
        <v>146</v>
      </c>
      <c r="F80" s="9" t="str">
        <f t="array" aca="1" ref="F80" ca="1">IF(ISBLANK(G80),"",INDEX('SFSS import'!A$1:F$59,MATCH(G80,'SFSS import'!E$1:E$59,0),3))</f>
        <v>Getasew Mebrate</v>
      </c>
      <c r="G80" s="8" t="s">
        <v>147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2.75">
      <c r="A81" s="6" t="s">
        <v>36</v>
      </c>
      <c r="B81" s="6" t="s">
        <v>338</v>
      </c>
      <c r="C81" s="7" t="e">
        <f t="array" ref="C81">INDEX('Synergy import (8232022)'!A$1:L$229,MATCH(#REF!,'Synergy import (8232022)'!D$1:D$229,0),8)</f>
        <v>#REF!</v>
      </c>
      <c r="D81" s="7" t="e">
        <f t="array" ref="D81">INDEX('Synergy import (8232022)'!A$1:L$229,MATCH(#REF!,'Synergy import (8232022)'!D$1:D$229,0),7)</f>
        <v>#REF!</v>
      </c>
      <c r="E81" s="11" t="s">
        <v>146</v>
      </c>
      <c r="F81" s="9" t="str">
        <f t="array" aca="1" ref="F81" ca="1">IF(ISBLANK(G81),"",INDEX('SFSS import'!A$1:F$59,MATCH(G81,'SFSS import'!E$1:E$59,0),3))</f>
        <v>Getasew Mebrate</v>
      </c>
      <c r="G81" s="11" t="s">
        <v>147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2.75">
      <c r="A82" s="6" t="s">
        <v>36</v>
      </c>
      <c r="B82" s="6" t="s">
        <v>472</v>
      </c>
      <c r="C82" s="7" t="e">
        <f t="array" ref="C82">INDEX('Synergy import (8232022)'!A$1:L$229,MATCH(#REF!,'Synergy import (8232022)'!D$1:D$229,0),8)</f>
        <v>#REF!</v>
      </c>
      <c r="D82" s="7" t="e">
        <f t="array" ref="D82">INDEX('Synergy import (8232022)'!A$1:L$229,MATCH(#REF!,'Synergy import (8232022)'!D$1:D$229,0),7)</f>
        <v>#REF!</v>
      </c>
      <c r="E82" s="8" t="s">
        <v>146</v>
      </c>
      <c r="F82" s="9" t="str">
        <f t="array" aca="1" ref="F82" ca="1">IF(ISBLANK(G82),"",INDEX('SFSS import'!A$1:F$59,MATCH(G82,'SFSS import'!E$1:E$59,0),3))</f>
        <v>Getasew Mebrate</v>
      </c>
      <c r="G82" s="8" t="s">
        <v>147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25.5">
      <c r="A83" s="6" t="s">
        <v>10</v>
      </c>
      <c r="B83" s="6" t="s">
        <v>374</v>
      </c>
      <c r="C83" s="7" t="e">
        <f t="array" ref="C83">INDEX('Synergy import (8232022)'!A$1:L$229,MATCH(#REF!,'Synergy import (8232022)'!D$1:D$229,0),8)</f>
        <v>#REF!</v>
      </c>
      <c r="D83" s="7" t="e">
        <f t="array" ref="D83">INDEX('Synergy import (8232022)'!A$1:L$229,MATCH(#REF!,'Synergy import (8232022)'!D$1:D$229,0),7)</f>
        <v>#REF!</v>
      </c>
      <c r="E83" s="8" t="s">
        <v>376</v>
      </c>
      <c r="F83" s="9" t="str">
        <f t="array" aca="1" ref="F83" ca="1">IF(ISBLANK(G83),"",INDEX('SFSS import'!A$1:F$59,MATCH(G83,'SFSS import'!E$1:E$59,0),3))</f>
        <v>Mirna Medrano-Romero</v>
      </c>
      <c r="G83" s="8" t="s">
        <v>377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1:18" ht="25.5">
      <c r="A84" s="6" t="s">
        <v>92</v>
      </c>
      <c r="B84" s="6" t="s">
        <v>478</v>
      </c>
      <c r="C84" s="7" t="e">
        <f t="array" ref="C84">INDEX('Synergy import (8232022)'!A$1:L$229,MATCH(#REF!,'Synergy import (8232022)'!D$1:D$229,0),8)</f>
        <v>#REF!</v>
      </c>
      <c r="D84" s="7" t="e">
        <f t="array" ref="D84">INDEX('Synergy import (8232022)'!A$1:L$229,MATCH(#REF!,'Synergy import (8232022)'!D$1:D$229,0),7)</f>
        <v>#REF!</v>
      </c>
      <c r="E84" s="8" t="s">
        <v>376</v>
      </c>
      <c r="F84" s="9" t="str">
        <f t="array" aca="1" ref="F84" ca="1">IF(ISBLANK(G84),"",INDEX('SFSS import'!A$1:F$59,MATCH(G84,'SFSS import'!E$1:E$59,0),3))</f>
        <v>Mirna Medrano-Romero</v>
      </c>
      <c r="G84" s="8" t="s">
        <v>377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1:18" ht="25.5">
      <c r="A85" s="6" t="s">
        <v>92</v>
      </c>
      <c r="B85" s="6" t="s">
        <v>241</v>
      </c>
      <c r="C85" s="7" t="e">
        <f t="array" ref="C85">INDEX('Synergy import (8232022)'!A$1:L$229,MATCH(#REF!,'Synergy import (8232022)'!D$1:D$229,0),8)</f>
        <v>#REF!</v>
      </c>
      <c r="D85" s="7" t="e">
        <f t="array" ref="D85">INDEX('Synergy import (8232022)'!A$1:L$229,MATCH(#REF!,'Synergy import (8232022)'!D$1:D$229,0),7)</f>
        <v>#REF!</v>
      </c>
      <c r="E85" s="8" t="s">
        <v>242</v>
      </c>
      <c r="F85" s="9" t="e">
        <f t="array" aca="1" ref="F85" ca="1">IF(ISBLANK(G85),"",INDEX('SFSS import'!A$1:F$59,MATCH(G85,'SFSS import'!E$1:E$59,0),3))</f>
        <v>#N/A</v>
      </c>
      <c r="G85" s="8" t="s">
        <v>243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1:18" ht="25.5">
      <c r="A86" s="6" t="s">
        <v>92</v>
      </c>
      <c r="B86" s="6" t="s">
        <v>426</v>
      </c>
      <c r="C86" s="7" t="e">
        <f t="array" ref="C86">INDEX('Synergy import (8232022)'!A$1:L$229,MATCH(#REF!,'Synergy import (8232022)'!D$1:D$229,0),8)</f>
        <v>#REF!</v>
      </c>
      <c r="D86" s="7" t="e">
        <f t="array" ref="D86">INDEX('Synergy import (8232022)'!A$1:L$229,MATCH(#REF!,'Synergy import (8232022)'!D$1:D$229,0),7)</f>
        <v>#REF!</v>
      </c>
      <c r="E86" s="8" t="s">
        <v>427</v>
      </c>
      <c r="F86" s="9" t="e">
        <f t="array" aca="1" ref="F86" ca="1">IF(ISBLANK(G86),"",INDEX('SFSS import'!A$1:F$59,MATCH(G86,'SFSS import'!E$1:E$59,0),3))</f>
        <v>#N/A</v>
      </c>
      <c r="G86" s="8" t="s">
        <v>428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25.5">
      <c r="A87" s="6" t="s">
        <v>89</v>
      </c>
      <c r="B87" s="6" t="s">
        <v>567</v>
      </c>
      <c r="C87" s="7" t="e">
        <f t="array" ref="C87">INDEX('Synergy import (8232022)'!A$1:L$229,MATCH(#REF!,'Synergy import (8232022)'!D$1:D$229,0),8)</f>
        <v>#REF!</v>
      </c>
      <c r="D87" s="7" t="e">
        <f t="array" ref="D87">INDEX('Synergy import (8232022)'!A$1:L$229,MATCH(#REF!,'Synergy import (8232022)'!D$1:D$229,0),7)</f>
        <v>#REF!</v>
      </c>
      <c r="E87" s="8" t="s">
        <v>427</v>
      </c>
      <c r="F87" s="9" t="str">
        <f t="array" aca="1" ref="F87" ca="1">IF(ISBLANK(G87),"",INDEX('SFSS import'!A$1:F$59,MATCH(G87,'SFSS import'!E$1:E$59,0),3))</f>
        <v>Pablo Molina Chemali</v>
      </c>
      <c r="G87" s="8" t="s">
        <v>568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1:18" ht="12.75">
      <c r="A88" s="6" t="s">
        <v>195</v>
      </c>
      <c r="B88" s="6" t="s">
        <v>203</v>
      </c>
      <c r="C88" s="7" t="e">
        <f t="array" ref="C88">INDEX('Synergy import (8232022)'!A$1:L$229,MATCH(#REF!,'Synergy import (8232022)'!D$1:D$229,0),8)</f>
        <v>#REF!</v>
      </c>
      <c r="D88" s="7" t="e">
        <f t="array" ref="D88">INDEX('Synergy import (8232022)'!A$1:L$229,MATCH(#REF!,'Synergy import (8232022)'!D$1:D$229,0),7)</f>
        <v>#REF!</v>
      </c>
      <c r="E88" s="8" t="s">
        <v>204</v>
      </c>
      <c r="F88" s="9" t="str">
        <f t="array" aca="1" ref="F88" ca="1">IF(ISBLANK(G88),"",INDEX('SFSS import'!A$1:F$59,MATCH(G88,'SFSS import'!E$1:E$59,0),3))</f>
        <v>Shanique Moore</v>
      </c>
      <c r="G88" s="8" t="s">
        <v>205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1:18" ht="12.75">
      <c r="A89" s="6" t="s">
        <v>383</v>
      </c>
      <c r="B89" s="6" t="s">
        <v>581</v>
      </c>
      <c r="C89" s="7" t="e">
        <f t="array" ref="C89">INDEX('Synergy import (8232022)'!A$1:L$229,MATCH(#REF!,'Synergy import (8232022)'!D$1:D$229,0),8)</f>
        <v>#REF!</v>
      </c>
      <c r="D89" s="7" t="e">
        <f t="array" ref="D89">INDEX('Synergy import (8232022)'!A$1:L$229,MATCH(#REF!,'Synergy import (8232022)'!D$1:D$229,0),7)</f>
        <v>#REF!</v>
      </c>
      <c r="E89" s="8" t="s">
        <v>204</v>
      </c>
      <c r="F89" s="9" t="str">
        <f t="array" aca="1" ref="F89" ca="1">IF(ISBLANK(G89),"",INDEX('SFSS import'!A$1:F$59,MATCH(G89,'SFSS import'!E$1:E$59,0),3))</f>
        <v>Shanique Moore</v>
      </c>
      <c r="G89" s="8" t="s">
        <v>205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1:18" ht="12.75">
      <c r="A90" s="6" t="s">
        <v>148</v>
      </c>
      <c r="B90" s="6" t="s">
        <v>591</v>
      </c>
      <c r="C90" s="7" t="e">
        <f t="array" ref="C90">INDEX('Synergy import (8232022)'!A$1:L$229,MATCH(#REF!,'Synergy import (8232022)'!D$1:D$229,0),8)</f>
        <v>#REF!</v>
      </c>
      <c r="D90" s="7" t="e">
        <f t="array" ref="D90">INDEX('Synergy import (8232022)'!A$1:L$229,MATCH(#REF!,'Synergy import (8232022)'!D$1:D$229,0),7)</f>
        <v>#REF!</v>
      </c>
      <c r="E90" s="11" t="s">
        <v>204</v>
      </c>
      <c r="F90" s="9" t="str">
        <f t="array" aca="1" ref="F90" ca="1">IF(ISBLANK(G90),"",INDEX('SFSS import'!A$1:F$59,MATCH(G90,'SFSS import'!E$1:E$59,0),3))</f>
        <v>Shanique Moore</v>
      </c>
      <c r="G90" s="11" t="s">
        <v>205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1:18" ht="12.75">
      <c r="A91" s="6" t="s">
        <v>92</v>
      </c>
      <c r="B91" s="6" t="s">
        <v>93</v>
      </c>
      <c r="C91" s="7" t="e">
        <f t="array" ref="C91">INDEX('Synergy import (8232022)'!A$1:L$229,MATCH(#REF!,'Synergy import (8232022)'!D$1:D$229,0),8)</f>
        <v>#REF!</v>
      </c>
      <c r="D91" s="7" t="e">
        <f t="array" ref="D91">INDEX('Synergy import (8232022)'!A$1:L$229,MATCH(#REF!,'Synergy import (8232022)'!D$1:D$229,0),7)</f>
        <v>#REF!</v>
      </c>
      <c r="E91" s="8" t="s">
        <v>95</v>
      </c>
      <c r="F91" s="9" t="str">
        <f t="array" aca="1" ref="F91" ca="1">IF(ISBLANK(G91),"",INDEX('SFSS import'!A$1:F$59,MATCH(G91,'SFSS import'!E$1:E$59,0),3))</f>
        <v>Farzaneh Nabavian</v>
      </c>
      <c r="G91" s="8" t="s">
        <v>96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1:18" ht="12.75">
      <c r="A92" s="6" t="s">
        <v>92</v>
      </c>
      <c r="B92" s="6" t="s">
        <v>565</v>
      </c>
      <c r="C92" s="7" t="e">
        <f t="array" ref="C92">INDEX('Synergy import (8232022)'!A$1:L$229,MATCH(#REF!,'Synergy import (8232022)'!D$1:D$229,0),8)</f>
        <v>#REF!</v>
      </c>
      <c r="D92" s="7" t="e">
        <f t="array" ref="D92">INDEX('Synergy import (8232022)'!A$1:L$229,MATCH(#REF!,'Synergy import (8232022)'!D$1:D$229,0),7)</f>
        <v>#REF!</v>
      </c>
      <c r="E92" s="8" t="s">
        <v>95</v>
      </c>
      <c r="F92" s="9" t="str">
        <f t="array" aca="1" ref="F92" ca="1">IF(ISBLANK(G92),"",INDEX('SFSS import'!A$1:F$59,MATCH(G92,'SFSS import'!E$1:E$59,0),3))</f>
        <v>Farzaneh Nabavian</v>
      </c>
      <c r="G92" s="8" t="s">
        <v>96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1:18" ht="12.75">
      <c r="A93" s="6" t="s">
        <v>92</v>
      </c>
      <c r="B93" s="6" t="s">
        <v>566</v>
      </c>
      <c r="C93" s="7" t="e">
        <f t="array" ref="C93">INDEX('Synergy import (8232022)'!A$1:L$229,MATCH(#REF!,'Synergy import (8232022)'!D$1:D$229,0),8)</f>
        <v>#REF!</v>
      </c>
      <c r="D93" s="7" t="e">
        <f t="array" ref="D93">INDEX('Synergy import (8232022)'!A$1:L$229,MATCH(#REF!,'Synergy import (8232022)'!D$1:D$229,0),7)</f>
        <v>#REF!</v>
      </c>
      <c r="E93" s="8" t="s">
        <v>95</v>
      </c>
      <c r="F93" s="9" t="str">
        <f t="array" aca="1" ref="F93" ca="1">IF(ISBLANK(G93),"",INDEX('SFSS import'!A$1:F$59,MATCH(G93,'SFSS import'!E$1:E$59,0),3))</f>
        <v>Farzaneh Nabavian</v>
      </c>
      <c r="G93" s="8" t="s">
        <v>96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1:18" ht="12.75">
      <c r="A94" s="6" t="s">
        <v>122</v>
      </c>
      <c r="B94" s="6" t="s">
        <v>342</v>
      </c>
      <c r="C94" s="7" t="e">
        <f t="array" ref="C94">INDEX('Synergy import (8232022)'!A$1:L$229,MATCH(#REF!,'Synergy import (8232022)'!D$1:D$229,0),8)</f>
        <v>#REF!</v>
      </c>
      <c r="D94" s="7" t="e">
        <f t="array" ref="D94">INDEX('Synergy import (8232022)'!A$1:L$229,MATCH(#REF!,'Synergy import (8232022)'!D$1:D$229,0),7)</f>
        <v>#REF!</v>
      </c>
      <c r="E94" s="11" t="s">
        <v>343</v>
      </c>
      <c r="F94" s="9" t="str">
        <f t="array" aca="1" ref="F94" ca="1">IF(ISBLANK(G94),"",INDEX('SFSS import'!A$1:F$59,MATCH(G94,'SFSS import'!E$1:E$59,0),3))</f>
        <v>Ana Nava</v>
      </c>
      <c r="G94" s="11" t="s">
        <v>344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1:18" ht="12.75">
      <c r="A95" s="6" t="s">
        <v>122</v>
      </c>
      <c r="B95" s="6" t="s">
        <v>473</v>
      </c>
      <c r="C95" s="7" t="e">
        <f t="array" ref="C95">INDEX('Synergy import (8232022)'!A$1:L$229,MATCH(#REF!,'Synergy import (8232022)'!D$1:D$229,0),8)</f>
        <v>#REF!</v>
      </c>
      <c r="D95" s="7" t="e">
        <f t="array" ref="D95">INDEX('Synergy import (8232022)'!A$1:L$229,MATCH(#REF!,'Synergy import (8232022)'!D$1:D$229,0),7)</f>
        <v>#REF!</v>
      </c>
      <c r="E95" s="8" t="s">
        <v>343</v>
      </c>
      <c r="F95" s="9" t="str">
        <f t="array" aca="1" ref="F95" ca="1">IF(ISBLANK(G95),"",INDEX('SFSS import'!A$1:F$59,MATCH(G95,'SFSS import'!E$1:E$59,0),3))</f>
        <v>Ana Nava</v>
      </c>
      <c r="G95" s="8" t="s">
        <v>344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1:18" ht="12.75">
      <c r="A96" s="6" t="s">
        <v>429</v>
      </c>
      <c r="B96" s="6" t="s">
        <v>604</v>
      </c>
      <c r="C96" s="7" t="e">
        <f t="array" ref="C96">INDEX('Synergy import (8232022)'!A$1:L$229,MATCH(#REF!,'Synergy import (8232022)'!D$1:D$229,0),8)</f>
        <v>#REF!</v>
      </c>
      <c r="D96" s="7" t="e">
        <f t="array" ref="D96">INDEX('Synergy import (8232022)'!A$1:L$229,MATCH(#REF!,'Synergy import (8232022)'!D$1:D$229,0),7)</f>
        <v>#REF!</v>
      </c>
      <c r="E96" s="8" t="s">
        <v>605</v>
      </c>
      <c r="F96" s="9" t="str">
        <f t="array" aca="1" ref="F96" ca="1">IF(ISBLANK(G96),"",INDEX('SFSS import'!A$1:F$59,MATCH(G96,'SFSS import'!E$1:E$59,0),3))</f>
        <v>Ana Nava</v>
      </c>
      <c r="G96" s="8" t="s">
        <v>344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1:18" ht="12.75">
      <c r="A97" s="6" t="s">
        <v>129</v>
      </c>
      <c r="B97" s="6" t="s">
        <v>369</v>
      </c>
      <c r="C97" s="7" t="e">
        <f t="array" ref="C97">INDEX('Synergy import (8232022)'!A$1:L$229,MATCH(#REF!,'Synergy import (8232022)'!D$1:D$229,0),8)</f>
        <v>#REF!</v>
      </c>
      <c r="D97" s="7" t="e">
        <f t="array" ref="D97">INDEX('Synergy import (8232022)'!A$1:L$229,MATCH(#REF!,'Synergy import (8232022)'!D$1:D$229,0),7)</f>
        <v>#REF!</v>
      </c>
      <c r="E97" s="11" t="s">
        <v>370</v>
      </c>
      <c r="F97" s="9" t="str">
        <f t="array" aca="1" ref="F97" ca="1">IF(ISBLANK(G97),"",INDEX('SFSS import'!A$1:F$59,MATCH(G97,'SFSS import'!E$1:E$59,0),3))</f>
        <v>Alicia Newlands</v>
      </c>
      <c r="G97" s="11" t="s">
        <v>371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1:18" ht="12.75">
      <c r="A98" s="6" t="s">
        <v>129</v>
      </c>
      <c r="B98" s="6" t="s">
        <v>407</v>
      </c>
      <c r="C98" s="7" t="e">
        <f t="array" ref="C98">INDEX('Synergy import (8232022)'!A$1:L$229,MATCH(#REF!,'Synergy import (8232022)'!D$1:D$229,0),8)</f>
        <v>#REF!</v>
      </c>
      <c r="D98" s="7" t="e">
        <f t="array" ref="D98">INDEX('Synergy import (8232022)'!A$1:L$229,MATCH(#REF!,'Synergy import (8232022)'!D$1:D$229,0),7)</f>
        <v>#REF!</v>
      </c>
      <c r="E98" s="8" t="s">
        <v>370</v>
      </c>
      <c r="F98" s="9" t="str">
        <f t="array" aca="1" ref="F98" ca="1">IF(ISBLANK(G98),"",INDEX('SFSS import'!A$1:F$59,MATCH(G98,'SFSS import'!E$1:E$59,0),3))</f>
        <v>Alicia Newlands</v>
      </c>
      <c r="G98" s="8" t="s">
        <v>371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1:18" ht="12.75">
      <c r="A99" s="6" t="s">
        <v>129</v>
      </c>
      <c r="B99" s="6" t="s">
        <v>502</v>
      </c>
      <c r="C99" s="7" t="e">
        <f t="array" ref="C99">INDEX('Synergy import (8232022)'!A$1:L$229,MATCH(#REF!,'Synergy import (8232022)'!D$1:D$229,0),8)</f>
        <v>#REF!</v>
      </c>
      <c r="D99" s="7" t="e">
        <f t="array" ref="D99">INDEX('Synergy import (8232022)'!A$1:L$229,MATCH(#REF!,'Synergy import (8232022)'!D$1:D$229,0),7)</f>
        <v>#REF!</v>
      </c>
      <c r="E99" s="8" t="s">
        <v>370</v>
      </c>
      <c r="F99" s="9" t="str">
        <f t="array" aca="1" ref="F99" ca="1">IF(ISBLANK(G99),"",INDEX('SFSS import'!A$1:F$59,MATCH(G99,'SFSS import'!E$1:E$59,0),3))</f>
        <v>Alicia Newlands</v>
      </c>
      <c r="G99" s="8" t="s">
        <v>371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1:18" ht="12.75">
      <c r="A100" s="6" t="s">
        <v>45</v>
      </c>
      <c r="B100" s="6" t="s">
        <v>278</v>
      </c>
      <c r="C100" s="7" t="e">
        <f t="array" ref="C100">INDEX('Synergy import (8232022)'!A$1:L$229,MATCH(#REF!,'Synergy import (8232022)'!D$1:D$229,0),8)</f>
        <v>#REF!</v>
      </c>
      <c r="D100" s="7" t="e">
        <f t="array" ref="D100">INDEX('Synergy import (8232022)'!A$1:L$229,MATCH(#REF!,'Synergy import (8232022)'!D$1:D$229,0),7)</f>
        <v>#REF!</v>
      </c>
      <c r="E100" s="8" t="s">
        <v>280</v>
      </c>
      <c r="F100" s="9" t="str">
        <f t="array" aca="1" ref="F100" ca="1">IF(ISBLANK(G100),"",INDEX('SFSS import'!A$1:F$59,MATCH(G100,'SFSS import'!E$1:E$59,0),3))</f>
        <v>Lan Nguyen</v>
      </c>
      <c r="G100" s="8" t="s">
        <v>281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1:18" ht="12.75">
      <c r="A101" s="6" t="s">
        <v>29</v>
      </c>
      <c r="B101" s="6" t="s">
        <v>189</v>
      </c>
      <c r="C101" s="7" t="e">
        <f t="array" ref="C101">INDEX('Synergy import (8232022)'!A$1:L$229,MATCH(#REF!,'Synergy import (8232022)'!D$1:D$229,0),8)</f>
        <v>#REF!</v>
      </c>
      <c r="D101" s="7" t="e">
        <f t="array" ref="D101">INDEX('Synergy import (8232022)'!A$1:L$229,MATCH(#REF!,'Synergy import (8232022)'!D$1:D$229,0),7)</f>
        <v>#REF!</v>
      </c>
      <c r="E101" s="11" t="s">
        <v>191</v>
      </c>
      <c r="F101" s="9" t="str">
        <f t="array" aca="1" ref="F101" ca="1">IF(ISBLANK(G101),"",INDEX('SFSS import'!A$1:F$59,MATCH(G101,'SFSS import'!E$1:E$59,0),3))</f>
        <v>Veronica Palleres</v>
      </c>
      <c r="G101" s="11" t="s">
        <v>192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1:18" ht="12.75">
      <c r="A102" s="6" t="s">
        <v>29</v>
      </c>
      <c r="B102" s="6" t="s">
        <v>227</v>
      </c>
      <c r="C102" s="7" t="e">
        <f t="array" ref="C102">INDEX('Synergy import (8232022)'!A$1:L$229,MATCH(#REF!,'Synergy import (8232022)'!D$1:D$229,0),8)</f>
        <v>#REF!</v>
      </c>
      <c r="D102" s="7" t="e">
        <f t="array" ref="D102">INDEX('Synergy import (8232022)'!A$1:L$229,MATCH(#REF!,'Synergy import (8232022)'!D$1:D$229,0),7)</f>
        <v>#REF!</v>
      </c>
      <c r="E102" s="8" t="s">
        <v>191</v>
      </c>
      <c r="F102" s="9" t="str">
        <f t="array" aca="1" ref="F102" ca="1">IF(ISBLANK(G102),"",INDEX('SFSS import'!A$1:F$59,MATCH(G102,'SFSS import'!E$1:E$59,0),3))</f>
        <v>Veronica Palleres</v>
      </c>
      <c r="G102" s="8" t="s">
        <v>192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1:18" ht="12.75">
      <c r="A103" s="6" t="s">
        <v>29</v>
      </c>
      <c r="B103" s="6" t="s">
        <v>228</v>
      </c>
      <c r="C103" s="7" t="e">
        <f t="array" ref="C103">INDEX('Synergy import (8232022)'!A$1:L$229,MATCH(#REF!,'Synergy import (8232022)'!D$1:D$229,0),8)</f>
        <v>#REF!</v>
      </c>
      <c r="D103" s="7" t="e">
        <f t="array" ref="D103">INDEX('Synergy import (8232022)'!A$1:L$229,MATCH(#REF!,'Synergy import (8232022)'!D$1:D$229,0),7)</f>
        <v>#REF!</v>
      </c>
      <c r="E103" s="8" t="s">
        <v>191</v>
      </c>
      <c r="F103" s="9" t="str">
        <f t="array" aca="1" ref="F103" ca="1">IF(ISBLANK(G103),"",INDEX('SFSS import'!A$1:F$59,MATCH(G103,'SFSS import'!E$1:E$59,0),3))</f>
        <v>Veronica Palleres</v>
      </c>
      <c r="G103" s="8" t="s">
        <v>192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1:18" ht="12.75">
      <c r="A104" s="6" t="s">
        <v>52</v>
      </c>
      <c r="B104" s="6" t="s">
        <v>436</v>
      </c>
      <c r="C104" s="7" t="e">
        <f t="array" ref="C104">INDEX('Synergy import (8232022)'!A$1:L$229,MATCH(#REF!,'Synergy import (8232022)'!D$1:D$229,0),8)</f>
        <v>#REF!</v>
      </c>
      <c r="D104" s="7" t="e">
        <f t="array" ref="D104">INDEX('Synergy import (8232022)'!A$1:L$229,MATCH(#REF!,'Synergy import (8232022)'!D$1:D$229,0),7)</f>
        <v>#REF!</v>
      </c>
      <c r="E104" s="8" t="s">
        <v>438</v>
      </c>
      <c r="F104" s="9" t="str">
        <f t="array" aca="1" ref="F104" ca="1">IF(ISBLANK(G104),"",INDEX('SFSS import'!A$1:F$59,MATCH(G104,'SFSS import'!E$1:E$59,0),3))</f>
        <v>Gonzalo Quiroga</v>
      </c>
      <c r="G104" s="8" t="s">
        <v>439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8" ht="12.75">
      <c r="A105" s="6" t="s">
        <v>52</v>
      </c>
      <c r="B105" s="6" t="s">
        <v>576</v>
      </c>
      <c r="C105" s="7" t="e">
        <f t="array" ref="C105">INDEX('Synergy import (8232022)'!A$1:L$229,MATCH(#REF!,'Synergy import (8232022)'!D$1:D$229,0),8)</f>
        <v>#REF!</v>
      </c>
      <c r="D105" s="7" t="e">
        <f t="array" ref="D105">INDEX('Synergy import (8232022)'!A$1:L$229,MATCH(#REF!,'Synergy import (8232022)'!D$1:D$229,0),7)</f>
        <v>#REF!</v>
      </c>
      <c r="E105" s="8" t="s">
        <v>438</v>
      </c>
      <c r="F105" s="9" t="str">
        <f t="array" aca="1" ref="F105" ca="1">IF(ISBLANK(G105),"",INDEX('SFSS import'!A$1:F$59,MATCH(G105,'SFSS import'!E$1:E$59,0),3))</f>
        <v>Gonzalo Quiroga</v>
      </c>
      <c r="G105" s="8" t="s">
        <v>439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1:18" ht="12.75">
      <c r="A106" s="6" t="s">
        <v>52</v>
      </c>
      <c r="B106" s="6" t="s">
        <v>592</v>
      </c>
      <c r="C106" s="7" t="e">
        <f t="array" ref="C106">INDEX('Synergy import (8232022)'!A$1:L$229,MATCH(#REF!,'Synergy import (8232022)'!D$1:D$229,0),8)</f>
        <v>#REF!</v>
      </c>
      <c r="D106" s="7" t="e">
        <f t="array" ref="D106">INDEX('Synergy import (8232022)'!A$1:L$229,MATCH(#REF!,'Synergy import (8232022)'!D$1:D$229,0),7)</f>
        <v>#REF!</v>
      </c>
      <c r="E106" s="8" t="s">
        <v>438</v>
      </c>
      <c r="F106" s="9" t="str">
        <f t="array" aca="1" ref="F106" ca="1">IF(ISBLANK(G106),"",INDEX('SFSS import'!A$1:F$59,MATCH(G106,'SFSS import'!E$1:E$59,0),3))</f>
        <v>Gonzalo Quiroga</v>
      </c>
      <c r="G106" s="8" t="s">
        <v>439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1:18" ht="12.75">
      <c r="A107" s="6" t="s">
        <v>129</v>
      </c>
      <c r="B107" s="6" t="s">
        <v>271</v>
      </c>
      <c r="C107" s="7" t="e">
        <f t="array" ref="C107">INDEX('Synergy import (8232022)'!A$1:L$229,MATCH(#REF!,'Synergy import (8232022)'!D$1:D$229,0),8)</f>
        <v>#REF!</v>
      </c>
      <c r="D107" s="7" t="e">
        <f t="array" ref="D107">INDEX('Synergy import (8232022)'!A$1:L$229,MATCH(#REF!,'Synergy import (8232022)'!D$1:D$229,0),7)</f>
        <v>#REF!</v>
      </c>
      <c r="E107" s="11" t="s">
        <v>272</v>
      </c>
      <c r="F107" s="9" t="str">
        <f t="array" aca="1" ref="F107" ca="1">IF(ISBLANK(G107),"",INDEX('SFSS import'!A$1:F$59,MATCH(G107,'SFSS import'!E$1:E$59,0),3))</f>
        <v>Giovanna Raffo</v>
      </c>
      <c r="G107" s="11" t="s">
        <v>273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1:18" ht="12.75">
      <c r="A108" s="6" t="s">
        <v>291</v>
      </c>
      <c r="B108" s="6" t="s">
        <v>292</v>
      </c>
      <c r="C108" s="7" t="e">
        <f t="array" ref="C108">INDEX('Synergy import (8232022)'!A$1:L$229,MATCH(#REF!,'Synergy import (8232022)'!D$1:D$229,0),8)</f>
        <v>#REF!</v>
      </c>
      <c r="D108" s="7" t="e">
        <f t="array" ref="D108">INDEX('Synergy import (8232022)'!A$1:L$229,MATCH(#REF!,'Synergy import (8232022)'!D$1:D$229,0),7)</f>
        <v>#REF!</v>
      </c>
      <c r="E108" s="8" t="s">
        <v>272</v>
      </c>
      <c r="F108" s="9" t="str">
        <f t="array" aca="1" ref="F108" ca="1">IF(ISBLANK(G108),"",INDEX('SFSS import'!A$1:F$59,MATCH(G108,'SFSS import'!E$1:E$59,0),3))</f>
        <v>Giovanna Raffo</v>
      </c>
      <c r="G108" s="8" t="s">
        <v>273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1:18" ht="12.75">
      <c r="A109" s="6" t="s">
        <v>195</v>
      </c>
      <c r="B109" s="6" t="s">
        <v>415</v>
      </c>
      <c r="C109" s="7" t="e">
        <f t="array" ref="C109">INDEX('Synergy import (8232022)'!A$1:L$229,MATCH(#REF!,'Synergy import (8232022)'!D$1:D$229,0),8)</f>
        <v>#REF!</v>
      </c>
      <c r="D109" s="7" t="e">
        <f t="array" ref="D109">INDEX('Synergy import (8232022)'!A$1:L$229,MATCH(#REF!,'Synergy import (8232022)'!D$1:D$229,0),7)</f>
        <v>#REF!</v>
      </c>
      <c r="E109" s="11" t="s">
        <v>272</v>
      </c>
      <c r="F109" s="9" t="str">
        <f t="array" aca="1" ref="F109" ca="1">IF(ISBLANK(G109),"",INDEX('SFSS import'!A$1:F$59,MATCH(G109,'SFSS import'!E$1:E$59,0),3))</f>
        <v>Giovanna Raffo</v>
      </c>
      <c r="G109" s="11" t="s">
        <v>273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1:18" ht="12.75">
      <c r="A110" s="6" t="s">
        <v>122</v>
      </c>
      <c r="B110" s="6" t="s">
        <v>597</v>
      </c>
      <c r="C110" s="7" t="e">
        <f t="array" ref="C110">INDEX('Synergy import (8232022)'!A$1:L$229,MATCH(#REF!,'Synergy import (8232022)'!D$1:D$229,0),8)</f>
        <v>#REF!</v>
      </c>
      <c r="D110" s="7" t="e">
        <f t="array" ref="D110">INDEX('Synergy import (8232022)'!A$1:L$229,MATCH(#REF!,'Synergy import (8232022)'!D$1:D$229,0),7)</f>
        <v>#REF!</v>
      </c>
      <c r="E110" s="8" t="s">
        <v>599</v>
      </c>
      <c r="F110" s="9" t="str">
        <f t="array" aca="1" ref="F110" ca="1">IF(ISBLANK(G110),"",INDEX('SFSS import'!A$1:F$59,MATCH(G110,'SFSS import'!E$1:E$59,0),3))</f>
        <v>Sylvia Romero</v>
      </c>
      <c r="G110" s="8" t="s">
        <v>600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1:18" ht="12.75">
      <c r="A111" s="6" t="s">
        <v>247</v>
      </c>
      <c r="B111" s="6" t="s">
        <v>449</v>
      </c>
      <c r="C111" s="7" t="e">
        <f t="array" ref="C111">INDEX('Synergy import (8232022)'!A$1:L$229,MATCH(#REF!,'Synergy import (8232022)'!D$1:D$229,0),8)</f>
        <v>#REF!</v>
      </c>
      <c r="D111" s="7" t="e">
        <f t="array" ref="D111">INDEX('Synergy import (8232022)'!A$1:L$229,MATCH(#REF!,'Synergy import (8232022)'!D$1:D$229,0),7)</f>
        <v>#REF!</v>
      </c>
      <c r="E111" s="11" t="s">
        <v>451</v>
      </c>
      <c r="F111" s="9" t="str">
        <f t="array" aca="1" ref="F111" ca="1">IF(ISBLANK(G111),"",INDEX('SFSS import'!A$1:F$59,MATCH(G111,'SFSS import'!E$1:E$59,0),3))</f>
        <v>Maria Romero</v>
      </c>
      <c r="G111" s="11" t="s">
        <v>452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1:18" ht="12.75">
      <c r="A112" s="6" t="s">
        <v>247</v>
      </c>
      <c r="B112" s="6" t="s">
        <v>465</v>
      </c>
      <c r="C112" s="7" t="e">
        <f t="array" ref="C112">INDEX('Synergy import (8232022)'!A$1:L$229,MATCH(#REF!,'Synergy import (8232022)'!D$1:D$229,0),8)</f>
        <v>#REF!</v>
      </c>
      <c r="D112" s="7" t="e">
        <f t="array" ref="D112">INDEX('Synergy import (8232022)'!A$1:L$229,MATCH(#REF!,'Synergy import (8232022)'!D$1:D$229,0),7)</f>
        <v>#REF!</v>
      </c>
      <c r="E112" s="11" t="s">
        <v>451</v>
      </c>
      <c r="F112" s="9" t="str">
        <f t="array" aca="1" ref="F112" ca="1">IF(ISBLANK(G112),"",INDEX('SFSS import'!A$1:F$59,MATCH(G112,'SFSS import'!E$1:E$59,0),3))</f>
        <v>Maria Romero</v>
      </c>
      <c r="G112" s="11" t="s">
        <v>452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1:18" ht="12.75">
      <c r="A113" s="6" t="s">
        <v>247</v>
      </c>
      <c r="B113" s="6" t="s">
        <v>512</v>
      </c>
      <c r="C113" s="7" t="e">
        <f t="array" ref="C113">INDEX('Synergy import (8232022)'!A$1:L$229,MATCH(#REF!,'Synergy import (8232022)'!D$1:D$229,0),8)</f>
        <v>#REF!</v>
      </c>
      <c r="D113" s="7" t="e">
        <f t="array" ref="D113">INDEX('Synergy import (8232022)'!A$1:L$229,MATCH(#REF!,'Synergy import (8232022)'!D$1:D$229,0),7)</f>
        <v>#REF!</v>
      </c>
      <c r="E113" s="8" t="s">
        <v>451</v>
      </c>
      <c r="F113" s="9" t="str">
        <f t="array" aca="1" ref="F113" ca="1">IF(ISBLANK(G113),"",INDEX('SFSS import'!A$1:F$59,MATCH(G113,'SFSS import'!E$1:E$59,0),3))</f>
        <v>Maria Romero</v>
      </c>
      <c r="G113" s="8" t="s">
        <v>452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1:18" ht="12.75">
      <c r="A114" s="6" t="s">
        <v>45</v>
      </c>
      <c r="B114" s="6" t="s">
        <v>46</v>
      </c>
      <c r="C114" s="7" t="e">
        <f t="array" ref="C114">INDEX('Synergy import (8232022)'!A$1:L$229,MATCH(#REF!,'Synergy import (8232022)'!D$1:D$229,0),8)</f>
        <v>#REF!</v>
      </c>
      <c r="D114" s="7" t="e">
        <f t="array" ref="D114">INDEX('Synergy import (8232022)'!A$1:L$229,MATCH(#REF!,'Synergy import (8232022)'!D$1:D$229,0),7)</f>
        <v>#REF!</v>
      </c>
      <c r="E114" s="8" t="s">
        <v>48</v>
      </c>
      <c r="F114" s="9" t="str">
        <f t="array" aca="1" ref="F114" ca="1">IF(ISBLANK(G114),"",INDEX('SFSS import'!A$1:F$59,MATCH(G114,'SFSS import'!E$1:E$59,0),3))</f>
        <v>Cindy Rowry Sadur</v>
      </c>
      <c r="G114" s="8" t="s">
        <v>49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1:18" ht="12.75">
      <c r="A115" s="6" t="s">
        <v>154</v>
      </c>
      <c r="B115" s="6" t="s">
        <v>419</v>
      </c>
      <c r="C115" s="7" t="e">
        <f t="array" ref="C115">INDEX('Synergy import (8232022)'!A$1:L$229,MATCH(#REF!,'Synergy import (8232022)'!D$1:D$229,0),8)</f>
        <v>#REF!</v>
      </c>
      <c r="D115" s="7" t="e">
        <f t="array" ref="D115">INDEX('Synergy import (8232022)'!A$1:L$229,MATCH(#REF!,'Synergy import (8232022)'!D$1:D$229,0),7)</f>
        <v>#REF!</v>
      </c>
      <c r="E115" s="8" t="s">
        <v>48</v>
      </c>
      <c r="F115" s="9" t="e">
        <f t="array" aca="1" ref="F115" ca="1">IF(ISBLANK(G115),"",INDEX('SFSS import'!A$1:F$59,MATCH(G115,'SFSS import'!E$1:E$59,0),3))</f>
        <v>#N/A</v>
      </c>
      <c r="G115" s="8" t="s">
        <v>420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1:18" ht="12.75">
      <c r="A116" s="6" t="s">
        <v>45</v>
      </c>
      <c r="B116" s="6" t="s">
        <v>509</v>
      </c>
      <c r="C116" s="7" t="e">
        <f t="array" ref="C116">INDEX('Synergy import (8232022)'!A$1:L$229,MATCH(#REF!,'Synergy import (8232022)'!D$1:D$229,0),8)</f>
        <v>#REF!</v>
      </c>
      <c r="D116" s="7" t="e">
        <f t="array" ref="D116">INDEX('Synergy import (8232022)'!A$1:L$229,MATCH(#REF!,'Synergy import (8232022)'!D$1:D$229,0),7)</f>
        <v>#REF!</v>
      </c>
      <c r="E116" s="11" t="s">
        <v>48</v>
      </c>
      <c r="F116" s="9" t="str">
        <f t="array" aca="1" ref="F116" ca="1">IF(ISBLANK(G116),"",INDEX('SFSS import'!A$1:F$59,MATCH(G116,'SFSS import'!E$1:E$59,0),3))</f>
        <v>Cindy Rowry Sadur</v>
      </c>
      <c r="G116" s="11" t="s">
        <v>49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1:18" ht="12.75">
      <c r="A117" s="6" t="s">
        <v>129</v>
      </c>
      <c r="B117" s="6" t="s">
        <v>489</v>
      </c>
      <c r="C117" s="7" t="e">
        <f t="array" ref="C117">INDEX('Synergy import (8232022)'!A$1:L$229,MATCH(#REF!,'Synergy import (8232022)'!D$1:D$229,0),8)</f>
        <v>#REF!</v>
      </c>
      <c r="D117" s="7" t="e">
        <f t="array" ref="D117">INDEX('Synergy import (8232022)'!A$1:L$229,MATCH(#REF!,'Synergy import (8232022)'!D$1:D$229,0),7)</f>
        <v>#REF!</v>
      </c>
      <c r="E117" s="8" t="s">
        <v>490</v>
      </c>
      <c r="F117" s="9" t="str">
        <f t="array" aca="1" ref="F117" ca="1">IF(ISBLANK(G117),"",INDEX('SFSS import'!A$1:F$59,MATCH(G117,'SFSS import'!E$1:E$59,0),3))</f>
        <v>Sally Ruiz Miller</v>
      </c>
      <c r="G117" s="8" t="s">
        <v>491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1:18" ht="12.75">
      <c r="A118" s="6" t="s">
        <v>383</v>
      </c>
      <c r="B118" s="6" t="s">
        <v>525</v>
      </c>
      <c r="C118" s="7" t="e">
        <f t="array" ref="C118">INDEX('Synergy import (8232022)'!A$1:L$229,MATCH(#REF!,'Synergy import (8232022)'!D$1:D$229,0),8)</f>
        <v>#REF!</v>
      </c>
      <c r="D118" s="7" t="e">
        <f t="array" ref="D118">INDEX('Synergy import (8232022)'!A$1:L$229,MATCH(#REF!,'Synergy import (8232022)'!D$1:D$229,0),7)</f>
        <v>#REF!</v>
      </c>
      <c r="E118" s="8" t="s">
        <v>490</v>
      </c>
      <c r="F118" s="9" t="str">
        <f t="array" aca="1" ref="F118" ca="1">IF(ISBLANK(G118),"",INDEX('SFSS import'!A$1:F$59,MATCH(G118,'SFSS import'!E$1:E$59,0),3))</f>
        <v>Sally Ruiz Miller</v>
      </c>
      <c r="G118" s="8" t="s">
        <v>491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1:18" ht="12.75">
      <c r="A119" s="6" t="s">
        <v>195</v>
      </c>
      <c r="B119" s="6" t="s">
        <v>335</v>
      </c>
      <c r="C119" s="7" t="e">
        <f t="array" ref="C119">INDEX('Synergy import (8232022)'!A$1:L$229,MATCH(#REF!,'Synergy import (8232022)'!D$1:D$229,0),8)</f>
        <v>#REF!</v>
      </c>
      <c r="D119" s="7" t="e">
        <f t="array" ref="D119">INDEX('Synergy import (8232022)'!A$1:L$229,MATCH(#REF!,'Synergy import (8232022)'!D$1:D$229,0),7)</f>
        <v>#REF!</v>
      </c>
      <c r="E119" s="8" t="s">
        <v>336</v>
      </c>
      <c r="F119" s="9" t="str">
        <f t="array" aca="1" ref="F119" ca="1">IF(ISBLANK(G119),"",INDEX('SFSS import'!A$1:F$59,MATCH(G119,'SFSS import'!E$1:E$59,0),3))</f>
        <v>Patri Santos</v>
      </c>
      <c r="G119" s="8" t="s">
        <v>337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1:18" ht="12.75">
      <c r="A120" s="6" t="s">
        <v>195</v>
      </c>
      <c r="B120" s="6" t="s">
        <v>389</v>
      </c>
      <c r="C120" s="7" t="e">
        <f t="array" ref="C120">INDEX('Synergy import (8232022)'!A$1:L$229,MATCH(#REF!,'Synergy import (8232022)'!D$1:D$229,0),8)</f>
        <v>#REF!</v>
      </c>
      <c r="D120" s="7" t="e">
        <f t="array" ref="D120">INDEX('Synergy import (8232022)'!A$1:L$229,MATCH(#REF!,'Synergy import (8232022)'!D$1:D$229,0),7)</f>
        <v>#REF!</v>
      </c>
      <c r="E120" s="8" t="s">
        <v>336</v>
      </c>
      <c r="F120" s="9" t="str">
        <f t="array" aca="1" ref="F120" ca="1">IF(ISBLANK(G120),"",INDEX('SFSS import'!A$1:F$59,MATCH(G120,'SFSS import'!E$1:E$59,0),3))</f>
        <v>Patri Santos</v>
      </c>
      <c r="G120" s="8" t="s">
        <v>337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1:18" ht="12.75">
      <c r="A121" s="6" t="s">
        <v>195</v>
      </c>
      <c r="B121" s="6" t="s">
        <v>456</v>
      </c>
      <c r="C121" s="7" t="e">
        <f t="array" ref="C121">INDEX('Synergy import (8232022)'!A$1:L$229,MATCH(#REF!,'Synergy import (8232022)'!D$1:D$229,0),8)</f>
        <v>#REF!</v>
      </c>
      <c r="D121" s="7" t="e">
        <f t="array" ref="D121">INDEX('Synergy import (8232022)'!A$1:L$229,MATCH(#REF!,'Synergy import (8232022)'!D$1:D$229,0),7)</f>
        <v>#REF!</v>
      </c>
      <c r="E121" s="11" t="s">
        <v>336</v>
      </c>
      <c r="F121" s="9" t="str">
        <f t="array" aca="1" ref="F121" ca="1">IF(ISBLANK(G121),"",INDEX('SFSS import'!A$1:F$59,MATCH(G121,'SFSS import'!E$1:E$59,0),3))</f>
        <v>Patri Santos</v>
      </c>
      <c r="G121" s="11" t="s">
        <v>337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1:18" ht="12.75">
      <c r="A122" s="6" t="s">
        <v>52</v>
      </c>
      <c r="B122" s="6" t="s">
        <v>56</v>
      </c>
      <c r="C122" s="7" t="e">
        <f t="array" ref="C122">INDEX('Synergy import (8232022)'!A$1:L$229,MATCH(#REF!,'Synergy import (8232022)'!D$1:D$229,0),8)</f>
        <v>#REF!</v>
      </c>
      <c r="D122" s="7" t="e">
        <f t="array" ref="D122">INDEX('Synergy import (8232022)'!A$1:L$229,MATCH(#REF!,'Synergy import (8232022)'!D$1:D$229,0),7)</f>
        <v>#REF!</v>
      </c>
      <c r="E122" s="8" t="s">
        <v>57</v>
      </c>
      <c r="F122" s="9" t="str">
        <f t="array" aca="1" ref="F122" ca="1">IF(ISBLANK(G122),"",INDEX('SFSS import'!A$1:F$59,MATCH(G122,'SFSS import'!E$1:E$59,0),3))</f>
        <v>Lily Shen</v>
      </c>
      <c r="G122" s="8" t="s">
        <v>58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1:18" ht="12.75">
      <c r="A123" s="6" t="s">
        <v>52</v>
      </c>
      <c r="B123" s="6" t="s">
        <v>53</v>
      </c>
      <c r="C123" s="7" t="e">
        <f t="array" ref="C123">INDEX('Synergy import (8232022)'!A$1:L$229,MATCH(#REF!,'Synergy import (8232022)'!D$1:D$229,0),8)</f>
        <v>#REF!</v>
      </c>
      <c r="D123" s="7" t="e">
        <f t="array" ref="D123">INDEX('Synergy import (8232022)'!A$1:L$229,MATCH(#REF!,'Synergy import (8232022)'!D$1:D$229,0),7)</f>
        <v>#REF!</v>
      </c>
      <c r="E123" s="8" t="s">
        <v>54</v>
      </c>
      <c r="F123" s="9" t="str">
        <f t="array" aca="1" ref="F123" ca="1">IF(ISBLANK(G123),"",INDEX('SFSS import'!A$1:F$59,MATCH(G123,'SFSS import'!E$1:E$59,0),3))</f>
        <v>Jeremy Smith</v>
      </c>
      <c r="G123" s="8" t="s">
        <v>55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1:18" ht="12.75">
      <c r="A124" s="6" t="s">
        <v>154</v>
      </c>
      <c r="B124" s="6" t="s">
        <v>529</v>
      </c>
      <c r="C124" s="7" t="e">
        <f t="array" ref="C124">INDEX('Synergy import (8232022)'!A$1:L$229,MATCH(#REF!,'Synergy import (8232022)'!D$1:D$229,0),8)</f>
        <v>#REF!</v>
      </c>
      <c r="D124" s="7" t="e">
        <f t="array" ref="D124">INDEX('Synergy import (8232022)'!A$1:L$229,MATCH(#REF!,'Synergy import (8232022)'!D$1:D$229,0),7)</f>
        <v>#REF!</v>
      </c>
      <c r="E124" s="8" t="s">
        <v>54</v>
      </c>
      <c r="F124" s="9" t="str">
        <f t="array" aca="1" ref="F124" ca="1">IF(ISBLANK(G124),"",INDEX('SFSS import'!A$1:F$59,MATCH(G124,'SFSS import'!E$1:E$59,0),3))</f>
        <v>Jeremy Smith</v>
      </c>
      <c r="G124" s="8" t="s">
        <v>55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1:18" ht="12.75">
      <c r="A125" s="6" t="s">
        <v>291</v>
      </c>
      <c r="B125" s="6" t="s">
        <v>574</v>
      </c>
      <c r="C125" s="7" t="e">
        <f t="array" ref="C125">INDEX('Synergy import (8232022)'!A$1:L$229,MATCH(#REF!,'Synergy import (8232022)'!D$1:D$229,0),8)</f>
        <v>#REF!</v>
      </c>
      <c r="D125" s="7" t="e">
        <f t="array" ref="D125">INDEX('Synergy import (8232022)'!A$1:L$229,MATCH(#REF!,'Synergy import (8232022)'!D$1:D$229,0),7)</f>
        <v>#REF!</v>
      </c>
      <c r="E125" s="8" t="s">
        <v>54</v>
      </c>
      <c r="F125" s="9" t="str">
        <f t="array" aca="1" ref="F125" ca="1">IF(ISBLANK(G125),"",INDEX('SFSS import'!A$1:F$59,MATCH(G125,'SFSS import'!E$1:E$59,0),3))</f>
        <v>Jeremy Smith</v>
      </c>
      <c r="G125" s="8" t="s">
        <v>55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1:18" ht="25.5">
      <c r="A126" s="6" t="s">
        <v>154</v>
      </c>
      <c r="B126" s="6" t="s">
        <v>274</v>
      </c>
      <c r="C126" s="7" t="e">
        <f t="array" ref="C126">INDEX('Synergy import (8232022)'!A$1:L$229,MATCH(#REF!,'Synergy import (8232022)'!D$1:D$229,0),8)</f>
        <v>#REF!</v>
      </c>
      <c r="D126" s="7" t="e">
        <f t="array" ref="D126">INDEX('Synergy import (8232022)'!A$1:L$229,MATCH(#REF!,'Synergy import (8232022)'!D$1:D$229,0),7)</f>
        <v>#REF!</v>
      </c>
      <c r="E126" s="19" t="s">
        <v>276</v>
      </c>
      <c r="F126" s="9" t="str">
        <f t="array" aca="1" ref="F126" ca="1">IF(ISBLANK(G126),"",INDEX('SFSS import'!A$1:F$59,MATCH(G126,'SFSS import'!E$1:E$59,0),3))</f>
        <v>Magda Sobalvarro-Ochoa</v>
      </c>
      <c r="G126" s="19" t="s">
        <v>277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1:18" ht="25.5">
      <c r="A127" s="6" t="s">
        <v>154</v>
      </c>
      <c r="B127" s="6" t="s">
        <v>498</v>
      </c>
      <c r="C127" s="7" t="e">
        <f t="array" ref="C127">INDEX('Synergy import (8232022)'!A$1:L$229,MATCH(#REF!,'Synergy import (8232022)'!D$1:D$229,0),8)</f>
        <v>#REF!</v>
      </c>
      <c r="D127" s="7" t="e">
        <f t="array" ref="D127">INDEX('Synergy import (8232022)'!A$1:L$229,MATCH(#REF!,'Synergy import (8232022)'!D$1:D$229,0),7)</f>
        <v>#REF!</v>
      </c>
      <c r="E127" s="8" t="s">
        <v>276</v>
      </c>
      <c r="F127" s="9" t="str">
        <f t="array" aca="1" ref="F127" ca="1">IF(ISBLANK(G127),"",INDEX('SFSS import'!A$1:F$59,MATCH(G127,'SFSS import'!E$1:E$59,0),3))</f>
        <v>Magda Sobalvarro-Ochoa</v>
      </c>
      <c r="G127" s="8" t="s">
        <v>277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1:18" ht="25.5">
      <c r="A128" s="6" t="s">
        <v>195</v>
      </c>
      <c r="B128" s="6" t="s">
        <v>196</v>
      </c>
      <c r="C128" s="7" t="e">
        <f t="array" ref="C128">INDEX('Synergy import (8232022)'!A$1:L$229,MATCH(#REF!,'Synergy import (8232022)'!D$1:D$229,0),8)</f>
        <v>#REF!</v>
      </c>
      <c r="D128" s="7" t="e">
        <f t="array" ref="D128">INDEX('Synergy import (8232022)'!A$1:L$229,MATCH(#REF!,'Synergy import (8232022)'!D$1:D$229,0),7)</f>
        <v>#REF!</v>
      </c>
      <c r="E128" s="11" t="s">
        <v>198</v>
      </c>
      <c r="F128" s="9" t="e">
        <f t="array" aca="1" ref="F128" ca="1">IF(ISBLANK(G128),"",INDEX('SFSS import'!A$1:F$59,MATCH(G128,'SFSS import'!E$1:E$59,0),3))</f>
        <v>#N/A</v>
      </c>
      <c r="G128" s="11" t="s">
        <v>199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1:18" ht="25.5">
      <c r="A129" s="6" t="s">
        <v>139</v>
      </c>
      <c r="B129" s="6" t="s">
        <v>360</v>
      </c>
      <c r="C129" s="7" t="e">
        <f t="array" ref="C129">INDEX('Synergy import (8232022)'!A$1:L$229,MATCH(#REF!,'Synergy import (8232022)'!D$1:D$229,0),8)</f>
        <v>#REF!</v>
      </c>
      <c r="D129" s="7" t="e">
        <f t="array" ref="D129">INDEX('Synergy import (8232022)'!A$1:L$229,MATCH(#REF!,'Synergy import (8232022)'!D$1:D$229,0),7)</f>
        <v>#REF!</v>
      </c>
      <c r="E129" s="8" t="s">
        <v>2677</v>
      </c>
      <c r="F129" s="9" t="e">
        <f t="array" aca="1" ref="F129" ca="1">IF(ISBLANK(G129),"",INDEX('SFSS import'!A$1:F$59,MATCH(G129,'SFSS import'!E$1:E$59,0),3))</f>
        <v>#N/A</v>
      </c>
      <c r="G129" s="8" t="s">
        <v>2676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1:18" ht="25.5">
      <c r="A130" s="6" t="s">
        <v>92</v>
      </c>
      <c r="B130" s="6" t="s">
        <v>479</v>
      </c>
      <c r="C130" s="7" t="e">
        <f t="array" ref="C130">INDEX('Synergy import (8232022)'!A$1:L$229,MATCH(#REF!,'Synergy import (8232022)'!D$1:D$229,0),8)</f>
        <v>#REF!</v>
      </c>
      <c r="D130" s="7" t="e">
        <f t="array" ref="D130">INDEX('Synergy import (8232022)'!A$1:L$229,MATCH(#REF!,'Synergy import (8232022)'!D$1:D$229,0),7)</f>
        <v>#REF!</v>
      </c>
      <c r="E130" s="19" t="s">
        <v>2677</v>
      </c>
      <c r="F130" s="9" t="e">
        <f t="array" aca="1" ref="F130" ca="1">IF(ISBLANK(G130),"",INDEX('SFSS import'!A$1:F$59,MATCH(G130,'SFSS import'!E$1:E$59,0),3))</f>
        <v>#N/A</v>
      </c>
      <c r="G130" s="8" t="s">
        <v>2676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1:18" ht="25.5">
      <c r="A131" s="6" t="s">
        <v>284</v>
      </c>
      <c r="B131" s="6" t="s">
        <v>517</v>
      </c>
      <c r="C131" s="7" t="e">
        <f t="array" ref="C131">INDEX('Synergy import (8232022)'!A$1:L$229,MATCH(#REF!,'Synergy import (8232022)'!D$1:D$229,0),8)</f>
        <v>#REF!</v>
      </c>
      <c r="D131" s="7" t="e">
        <f t="array" ref="D131">INDEX('Synergy import (8232022)'!A$1:L$229,MATCH(#REF!,'Synergy import (8232022)'!D$1:D$229,0),7)</f>
        <v>#REF!</v>
      </c>
      <c r="E131" s="19" t="s">
        <v>2677</v>
      </c>
      <c r="F131" s="9" t="e">
        <f t="array" aca="1" ref="F131" ca="1">IF(ISBLANK(G131),"",INDEX('SFSS import'!A$1:F$59,MATCH(G131,'SFSS import'!E$1:E$59,0),3))</f>
        <v>#N/A</v>
      </c>
      <c r="G131" s="8" t="s">
        <v>2676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 ht="12.75">
      <c r="A132" s="6" t="s">
        <v>10</v>
      </c>
      <c r="B132" s="6" t="s">
        <v>316</v>
      </c>
      <c r="C132" s="7" t="e">
        <f t="array" ref="C132">INDEX('Synergy import (8232022)'!A$1:L$229,MATCH(#REF!,'Synergy import (8232022)'!D$1:D$229,0),8)</f>
        <v>#REF!</v>
      </c>
      <c r="D132" s="7" t="e">
        <f t="array" ref="D132">INDEX('Synergy import (8232022)'!A$1:L$229,MATCH(#REF!,'Synergy import (8232022)'!D$1:D$229,0),7)</f>
        <v>#REF!</v>
      </c>
      <c r="E132" s="19" t="s">
        <v>317</v>
      </c>
      <c r="F132" s="9" t="str">
        <f t="array" aca="1" ref="F132" ca="1">IF(ISBLANK(G132),"",INDEX('SFSS import'!A$1:F$59,MATCH(G132,'SFSS import'!E$1:E$59,0),3))</f>
        <v>Annie Tsai</v>
      </c>
      <c r="G132" s="19" t="s">
        <v>318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1:18" ht="12.75">
      <c r="A133" s="6" t="s">
        <v>247</v>
      </c>
      <c r="B133" s="6" t="s">
        <v>325</v>
      </c>
      <c r="C133" s="7" t="e">
        <f t="array" ref="C133">INDEX('Synergy import (8232022)'!A$1:L$229,MATCH(#REF!,'Synergy import (8232022)'!D$1:D$229,0),8)</f>
        <v>#REF!</v>
      </c>
      <c r="D133" s="7" t="e">
        <f t="array" ref="D133">INDEX('Synergy import (8232022)'!A$1:L$229,MATCH(#REF!,'Synergy import (8232022)'!D$1:D$229,0),7)</f>
        <v>#REF!</v>
      </c>
      <c r="E133" s="8" t="s">
        <v>317</v>
      </c>
      <c r="F133" s="9" t="str">
        <f t="array" aca="1" ref="F133" ca="1">IF(ISBLANK(G133),"",INDEX('SFSS import'!A$1:F$59,MATCH(G133,'SFSS import'!E$1:E$59,0),3))</f>
        <v>Annie Tsai</v>
      </c>
      <c r="G133" s="8" t="s">
        <v>318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1:18" ht="25.5">
      <c r="A134" s="6" t="s">
        <v>148</v>
      </c>
      <c r="B134" s="6" t="s">
        <v>223</v>
      </c>
      <c r="C134" s="7" t="e">
        <f t="array" ref="C134">INDEX('Synergy import (8232022)'!A$1:L$229,MATCH(#REF!,'Synergy import (8232022)'!D$1:D$229,0),8)</f>
        <v>#REF!</v>
      </c>
      <c r="D134" s="7" t="e">
        <f t="array" ref="D134">INDEX('Synergy import (8232022)'!A$1:L$229,MATCH(#REF!,'Synergy import (8232022)'!D$1:D$229,0),7)</f>
        <v>#REF!</v>
      </c>
      <c r="E134" s="19" t="s">
        <v>225</v>
      </c>
      <c r="F134" s="9" t="e">
        <f t="array" aca="1" ref="F134" ca="1">IF(ISBLANK(G134),"",INDEX('SFSS import'!A$1:F$59,MATCH(G134,'SFSS import'!E$1:E$59,0),3))</f>
        <v>#N/A</v>
      </c>
      <c r="G134" s="19" t="s">
        <v>226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1:18" ht="25.5">
      <c r="A135" s="6" t="s">
        <v>148</v>
      </c>
      <c r="B135" s="6" t="s">
        <v>295</v>
      </c>
      <c r="C135" s="7" t="e">
        <f t="array" ref="C135">INDEX('Synergy import (8232022)'!A$1:L$229,MATCH(#REF!,'Synergy import (8232022)'!D$1:D$229,0),8)</f>
        <v>#REF!</v>
      </c>
      <c r="D135" s="7" t="e">
        <f t="array" ref="D135">INDEX('Synergy import (8232022)'!A$1:L$229,MATCH(#REF!,'Synergy import (8232022)'!D$1:D$229,0),7)</f>
        <v>#REF!</v>
      </c>
      <c r="E135" s="11" t="s">
        <v>225</v>
      </c>
      <c r="F135" s="9" t="str">
        <f t="array" aca="1" ref="F135" ca="1">IF(ISBLANK(G135),"",INDEX('SFSS import'!A$1:F$59,MATCH(G135,'SFSS import'!E$1:E$59,0),3))</f>
        <v>Paty Williams</v>
      </c>
      <c r="G135" s="11" t="s">
        <v>296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1:18" ht="25.5">
      <c r="A136" s="6" t="s">
        <v>148</v>
      </c>
      <c r="B136" s="6" t="s">
        <v>516</v>
      </c>
      <c r="C136" s="7" t="e">
        <f t="array" ref="C136">INDEX('Synergy import (8232022)'!A$1:L$229,MATCH(#REF!,'Synergy import (8232022)'!D$1:D$229,0),8)</f>
        <v>#REF!</v>
      </c>
      <c r="D136" s="7" t="e">
        <f t="array" ref="D136">INDEX('Synergy import (8232022)'!A$1:L$229,MATCH(#REF!,'Synergy import (8232022)'!D$1:D$229,0),7)</f>
        <v>#REF!</v>
      </c>
      <c r="E136" s="8" t="s">
        <v>225</v>
      </c>
      <c r="F136" s="9" t="str">
        <f t="array" aca="1" ref="F136" ca="1">IF(ISBLANK(G136),"",INDEX('SFSS import'!A$1:F$59,MATCH(G136,'SFSS import'!E$1:E$59,0),3))</f>
        <v>Paty Williams</v>
      </c>
      <c r="G136" s="8" t="s">
        <v>296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1:18" ht="12.75">
      <c r="A137" s="6" t="s">
        <v>195</v>
      </c>
      <c r="B137" s="6" t="s">
        <v>320</v>
      </c>
      <c r="C137" s="7" t="e">
        <f t="array" ref="C137">INDEX('Synergy import (8232022)'!A$1:L$229,MATCH(#REF!,'Synergy import (8232022)'!D$1:D$229,0),8)</f>
        <v>#REF!</v>
      </c>
      <c r="D137" s="7" t="e">
        <f t="array" ref="D137">INDEX('Synergy import (8232022)'!A$1:L$229,MATCH(#REF!,'Synergy import (8232022)'!D$1:D$229,0),7)</f>
        <v>#REF!</v>
      </c>
      <c r="E137" s="8" t="s">
        <v>321</v>
      </c>
      <c r="F137" s="9" t="e">
        <f t="array" aca="1" ref="F137" ca="1">IF(ISBLANK(G137),"",INDEX('SFSS import'!A$1:F$59,MATCH(G137,'SFSS import'!E$1:E$59,0),3))</f>
        <v>#N/A</v>
      </c>
      <c r="G137" s="8" t="s">
        <v>322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 ht="12.75">
      <c r="A138" s="6" t="s">
        <v>429</v>
      </c>
      <c r="B138" s="6" t="s">
        <v>553</v>
      </c>
      <c r="C138" s="7" t="e">
        <f t="array" ref="C138">INDEX('Synergy import (8232022)'!A$1:L$229,MATCH(#REF!,'Synergy import (8232022)'!D$1:D$229,0),8)</f>
        <v>#REF!</v>
      </c>
      <c r="D138" s="7" t="e">
        <f t="array" ref="D138">INDEX('Synergy import (8232022)'!A$1:L$229,MATCH(#REF!,'Synergy import (8232022)'!D$1:D$229,0),7)</f>
        <v>#REF!</v>
      </c>
      <c r="E138" s="8" t="s">
        <v>321</v>
      </c>
      <c r="F138" s="9" t="str">
        <f t="array" aca="1" ref="F138" ca="1">IF(ISBLANK(G138),"",INDEX('SFSS import'!A$1:F$59,MATCH(G138,'SFSS import'!E$1:E$59,0),3))</f>
        <v>Sandra Woods</v>
      </c>
      <c r="G138" s="8" t="s">
        <v>554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1:18" ht="12.75">
      <c r="A139" s="6" t="s">
        <v>429</v>
      </c>
      <c r="B139" s="6" t="s">
        <v>583</v>
      </c>
      <c r="C139" s="7" t="e">
        <f t="array" ref="C139">INDEX('Synergy import (8232022)'!A$1:L$229,MATCH(#REF!,'Synergy import (8232022)'!D$1:D$229,0),8)</f>
        <v>#REF!</v>
      </c>
      <c r="D139" s="7" t="e">
        <f t="array" ref="D139">INDEX('Synergy import (8232022)'!A$1:L$229,MATCH(#REF!,'Synergy import (8232022)'!D$1:D$229,0),7)</f>
        <v>#REF!</v>
      </c>
      <c r="E139" s="11" t="s">
        <v>321</v>
      </c>
      <c r="F139" s="9" t="str">
        <f t="array" aca="1" ref="F139" ca="1">IF(ISBLANK(G139),"",INDEX('SFSS import'!A$1:F$59,MATCH(G139,'SFSS import'!E$1:E$59,0),3))</f>
        <v>Sandra Woods</v>
      </c>
      <c r="G139" s="11" t="s">
        <v>554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1:18" ht="25.5">
      <c r="A140" s="6" t="s">
        <v>139</v>
      </c>
      <c r="B140" s="6" t="s">
        <v>233</v>
      </c>
      <c r="C140" s="7" t="e">
        <f t="array" ref="C140">INDEX('Synergy import (8232022)'!A$1:L$229,MATCH(#REF!,'Synergy import (8232022)'!D$1:D$229,0),8)</f>
        <v>#REF!</v>
      </c>
      <c r="D140" s="7" t="e">
        <f t="array" ref="D140">INDEX('Synergy import (8232022)'!A$1:L$229,MATCH(#REF!,'Synergy import (8232022)'!D$1:D$229,0),7)</f>
        <v>#REF!</v>
      </c>
      <c r="E140" s="8" t="s">
        <v>234</v>
      </c>
      <c r="F140" s="9" t="str">
        <f t="array" aca="1" ref="F140" ca="1">IF(ISBLANK(G140),"",INDEX('SFSS import'!A$1:F$59,MATCH(G140,'SFSS import'!E$1:E$59,0),3))</f>
        <v>Evelyn Zuniga-Sanchez</v>
      </c>
      <c r="G140" s="8" t="s">
        <v>235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1:18" ht="25.5">
      <c r="A141" s="6" t="s">
        <v>139</v>
      </c>
      <c r="B141" s="6" t="s">
        <v>382</v>
      </c>
      <c r="C141" s="7" t="e">
        <f t="array" ref="C141">INDEX('Synergy import (8232022)'!A$1:L$229,MATCH(#REF!,'Synergy import (8232022)'!D$1:D$229,0),8)</f>
        <v>#REF!</v>
      </c>
      <c r="D141" s="7" t="e">
        <f t="array" ref="D141">INDEX('Synergy import (8232022)'!A$1:L$229,MATCH(#REF!,'Synergy import (8232022)'!D$1:D$229,0),7)</f>
        <v>#REF!</v>
      </c>
      <c r="E141" s="8" t="s">
        <v>234</v>
      </c>
      <c r="F141" s="9" t="str">
        <f t="array" aca="1" ref="F141" ca="1">IF(ISBLANK(G141),"",INDEX('SFSS import'!A$1:F$59,MATCH(G141,'SFSS import'!E$1:E$59,0),3))</f>
        <v>Evelyn Zuniga-Sanchez</v>
      </c>
      <c r="G141" s="8" t="s">
        <v>235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1:18" ht="25.5">
      <c r="A142" s="6" t="s">
        <v>284</v>
      </c>
      <c r="B142" s="6" t="s">
        <v>539</v>
      </c>
      <c r="C142" s="7" t="e">
        <f t="array" ref="C142">INDEX('Synergy import (8232022)'!A$1:L$229,MATCH(#REF!,'Synergy import (8232022)'!D$1:D$229,0),8)</f>
        <v>#REF!</v>
      </c>
      <c r="D142" s="7" t="e">
        <f t="array" ref="D142">INDEX('Synergy import (8232022)'!A$1:L$229,MATCH(#REF!,'Synergy import (8232022)'!D$1:D$229,0),7)</f>
        <v>#REF!</v>
      </c>
      <c r="E142" s="11" t="s">
        <v>234</v>
      </c>
      <c r="F142" s="9" t="str">
        <f t="array" aca="1" ref="F142" ca="1">IF(ISBLANK(G142),"",INDEX('SFSS import'!A$1:F$59,MATCH(G142,'SFSS import'!E$1:E$59,0),3))</f>
        <v>Evelyn Zuniga-Sanchez</v>
      </c>
      <c r="G142" s="11" t="s">
        <v>235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1:18" ht="12.75">
      <c r="A143" s="6" t="s">
        <v>25</v>
      </c>
      <c r="B143" s="6" t="s">
        <v>26</v>
      </c>
      <c r="C143" s="7" t="e">
        <f t="array" ref="C143">INDEX('Synergy import (8232022)'!A$1:L$229,MATCH(#REF!,'Synergy import (8232022)'!D$1:D$229,0),8)</f>
        <v>#REF!</v>
      </c>
      <c r="D143" s="7" t="e">
        <f t="array" ref="D143">INDEX('Synergy import (8232022)'!A$1:L$229,MATCH(#REF!,'Synergy import (8232022)'!D$1:D$229,0),7)</f>
        <v>#REF!</v>
      </c>
      <c r="E143" s="11"/>
      <c r="F143" s="9" t="str">
        <f t="array" ref="F143">IF(ISBLANK(G143),"",INDEX('SFSS import'!A$1:F$59,MATCH(G143,'SFSS import'!E$1:E$59,0),3))</f>
        <v/>
      </c>
      <c r="G143" s="11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1:18" ht="12.75">
      <c r="A144" s="6" t="s">
        <v>41</v>
      </c>
      <c r="B144" s="6" t="s">
        <v>42</v>
      </c>
      <c r="C144" s="7" t="e">
        <f t="array" ref="C144">INDEX('Synergy import (8232022)'!A$1:L$229,MATCH(#REF!,'Synergy import (8232022)'!D$1:D$229,0),8)</f>
        <v>#REF!</v>
      </c>
      <c r="D144" s="7" t="e">
        <f t="array" ref="D144">INDEX('Synergy import (8232022)'!A$1:L$229,MATCH(#REF!,'Synergy import (8232022)'!D$1:D$229,0),7)</f>
        <v>#REF!</v>
      </c>
      <c r="E144" s="11"/>
      <c r="F144" s="9" t="str">
        <f t="array" ref="F144">IF(ISBLANK(G144),"",INDEX('SFSS import'!A$1:F$59,MATCH(G144,'SFSS import'!E$1:E$59,0),3))</f>
        <v/>
      </c>
      <c r="G144" s="11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1:18" ht="12.75">
      <c r="A145" s="6" t="s">
        <v>65</v>
      </c>
      <c r="B145" s="6" t="s">
        <v>66</v>
      </c>
      <c r="C145" s="7" t="e">
        <f t="array" ref="C145">INDEX('Synergy import (8232022)'!A$1:L$229,MATCH(#REF!,'Synergy import (8232022)'!D$1:D$229,0),8)</f>
        <v>#REF!</v>
      </c>
      <c r="D145" s="7" t="e">
        <f t="array" ref="D145">INDEX('Synergy import (8232022)'!A$1:L$229,MATCH(#REF!,'Synergy import (8232022)'!D$1:D$229,0),7)</f>
        <v>#REF!</v>
      </c>
      <c r="E145" s="11"/>
      <c r="F145" s="9" t="str">
        <f t="array" ref="F145">IF(ISBLANK(G145),"",INDEX('SFSS import'!A$1:F$59,MATCH(G145,'SFSS import'!E$1:E$59,0),3))</f>
        <v/>
      </c>
      <c r="G145" s="11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1:18" ht="12.75">
      <c r="A146" s="6" t="s">
        <v>69</v>
      </c>
      <c r="B146" s="6" t="s">
        <v>70</v>
      </c>
      <c r="C146" s="7" t="e">
        <f t="array" ref="C146">INDEX('Synergy import (8232022)'!A$1:L$229,MATCH(#REF!,'Synergy import (8232022)'!D$1:D$229,0),8)</f>
        <v>#REF!</v>
      </c>
      <c r="D146" s="7" t="e">
        <f t="array" ref="D146">INDEX('Synergy import (8232022)'!A$1:L$229,MATCH(#REF!,'Synergy import (8232022)'!D$1:D$229,0),7)</f>
        <v>#REF!</v>
      </c>
      <c r="E146" s="11"/>
      <c r="F146" s="9" t="str">
        <f t="array" ref="F146">IF(ISBLANK(G146),"",INDEX('SFSS import'!A$1:F$59,MATCH(G146,'SFSS import'!E$1:E$59,0),3))</f>
        <v/>
      </c>
      <c r="G146" s="11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1:18" ht="12.75">
      <c r="A147" s="6" t="s">
        <v>74</v>
      </c>
      <c r="B147" s="6" t="s">
        <v>84</v>
      </c>
      <c r="C147" s="7" t="e">
        <f t="array" ref="C147">INDEX('Synergy import (8232022)'!A$1:L$229,MATCH(#REF!,'Synergy import (8232022)'!D$1:D$229,0),8)</f>
        <v>#REF!</v>
      </c>
      <c r="D147" s="7" t="e">
        <f t="array" ref="D147">INDEX('Synergy import (8232022)'!A$1:L$229,MATCH(#REF!,'Synergy import (8232022)'!D$1:D$229,0),7)</f>
        <v>#REF!</v>
      </c>
      <c r="E147" s="8"/>
      <c r="F147" s="9" t="str">
        <f t="array" ref="F147">IF(ISBLANK(G147),"",INDEX('SFSS import'!A$1:F$59,MATCH(G147,'SFSS import'!E$1:E$59,0),3))</f>
        <v/>
      </c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1:18" ht="12.75">
      <c r="A148" s="6" t="s">
        <v>65</v>
      </c>
      <c r="B148" s="6" t="s">
        <v>86</v>
      </c>
      <c r="C148" s="7" t="e">
        <f t="array" ref="C148">INDEX('Synergy import (8232022)'!A$1:L$229,MATCH(#REF!,'Synergy import (8232022)'!D$1:D$229,0),8)</f>
        <v>#REF!</v>
      </c>
      <c r="D148" s="7" t="e">
        <f t="array" ref="D148">INDEX('Synergy import (8232022)'!A$1:L$229,MATCH(#REF!,'Synergy import (8232022)'!D$1:D$229,0),7)</f>
        <v>#REF!</v>
      </c>
      <c r="E148" s="8"/>
      <c r="F148" s="9" t="str">
        <f t="array" ref="F148">IF(ISBLANK(G148),"",INDEX('SFSS import'!A$1:F$59,MATCH(G148,'SFSS import'!E$1:E$59,0),3))</f>
        <v/>
      </c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1:18" ht="12.75">
      <c r="A149" s="6" t="s">
        <v>89</v>
      </c>
      <c r="B149" s="6" t="s">
        <v>90</v>
      </c>
      <c r="C149" s="7" t="e">
        <f t="array" ref="C149">INDEX('Synergy import (8232022)'!A$1:L$229,MATCH(#REF!,'Synergy import (8232022)'!D$1:D$229,0),8)</f>
        <v>#REF!</v>
      </c>
      <c r="D149" s="7" t="e">
        <f t="array" ref="D149">INDEX('Synergy import (8232022)'!A$1:L$229,MATCH(#REF!,'Synergy import (8232022)'!D$1:D$229,0),7)</f>
        <v>#REF!</v>
      </c>
      <c r="E149" s="12"/>
      <c r="F149" s="9" t="str">
        <f t="array" ref="F149">IF(ISBLANK(G149),"",INDEX('SFSS import'!A$1:F$59,MATCH(G149,'SFSS import'!E$1:E$59,0),3))</f>
        <v/>
      </c>
      <c r="G149" s="1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1:18" ht="12.75">
      <c r="A150" s="6" t="s">
        <v>41</v>
      </c>
      <c r="B150" s="6" t="s">
        <v>110</v>
      </c>
      <c r="C150" s="7" t="e">
        <f t="array" ref="C150">INDEX('Synergy import (8232022)'!A$1:L$229,MATCH(#REF!,'Synergy import (8232022)'!D$1:D$229,0),8)</f>
        <v>#REF!</v>
      </c>
      <c r="D150" s="7" t="e">
        <f t="array" ref="D150">INDEX('Synergy import (8232022)'!A$1:L$229,MATCH(#REF!,'Synergy import (8232022)'!D$1:D$229,0),7)</f>
        <v>#REF!</v>
      </c>
      <c r="E150" s="11"/>
      <c r="F150" s="9" t="str">
        <f t="array" ref="F150">IF(ISBLANK(G150),"",INDEX('SFSS import'!A$1:F$59,MATCH(G150,'SFSS import'!E$1:E$59,0),3))</f>
        <v/>
      </c>
      <c r="G150" s="11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1:18" ht="12.75">
      <c r="A151" s="6" t="s">
        <v>41</v>
      </c>
      <c r="B151" s="6" t="s">
        <v>137</v>
      </c>
      <c r="C151" s="7" t="e">
        <f t="array" ref="C151">INDEX('Synergy import (8232022)'!A$1:L$229,MATCH(#REF!,'Synergy import (8232022)'!D$1:D$229,0),8)</f>
        <v>#REF!</v>
      </c>
      <c r="D151" s="7" t="e">
        <f t="array" ref="D151">INDEX('Synergy import (8232022)'!A$1:L$229,MATCH(#REF!,'Synergy import (8232022)'!D$1:D$229,0),7)</f>
        <v>#REF!</v>
      </c>
      <c r="E151" s="8"/>
      <c r="F151" s="9" t="str">
        <f t="array" ref="F151">IF(ISBLANK(G151),"",INDEX('SFSS import'!A$1:F$59,MATCH(G151,'SFSS import'!E$1:E$59,0),3))</f>
        <v/>
      </c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1:18" ht="12.75">
      <c r="A152" s="6" t="s">
        <v>148</v>
      </c>
      <c r="B152" s="6" t="s">
        <v>149</v>
      </c>
      <c r="C152" s="7" t="e">
        <f t="array" ref="C152">INDEX('Synergy import (8232022)'!A$1:L$229,MATCH(#REF!,'Synergy import (8232022)'!D$1:D$229,0),8)</f>
        <v>#REF!</v>
      </c>
      <c r="D152" s="7" t="e">
        <f t="array" ref="D152">INDEX('Synergy import (8232022)'!A$1:L$229,MATCH(#REF!,'Synergy import (8232022)'!D$1:D$229,0),7)</f>
        <v>#REF!</v>
      </c>
      <c r="E152" s="22"/>
      <c r="F152" s="18"/>
      <c r="G152" s="2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1:18" ht="12.75">
      <c r="A153" s="6" t="s">
        <v>65</v>
      </c>
      <c r="B153" s="6" t="s">
        <v>153</v>
      </c>
      <c r="C153" s="7" t="e">
        <f t="array" ref="C153">INDEX('Synergy import (8232022)'!A$1:L$229,MATCH(#REF!,'Synergy import (8232022)'!D$1:D$229,0),8)</f>
        <v>#REF!</v>
      </c>
      <c r="D153" s="7" t="e">
        <f t="array" ref="D153">INDEX('Synergy import (8232022)'!A$1:L$229,MATCH(#REF!,'Synergy import (8232022)'!D$1:D$229,0),7)</f>
        <v>#REF!</v>
      </c>
      <c r="E153" s="11"/>
      <c r="F153" s="9" t="str">
        <f t="array" ref="F153">IF(ISBLANK(G153),"",INDEX('SFSS import'!A$1:F$59,MATCH(G153,'SFSS import'!E$1:E$59,0),3))</f>
        <v/>
      </c>
      <c r="G153" s="11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 ht="12.75">
      <c r="A154" s="6" t="s">
        <v>154</v>
      </c>
      <c r="B154" s="6" t="s">
        <v>155</v>
      </c>
      <c r="C154" s="7" t="e">
        <f t="array" ref="C154">INDEX('Synergy import (8232022)'!A$1:L$229,MATCH(#REF!,'Synergy import (8232022)'!D$1:D$229,0),8)</f>
        <v>#REF!</v>
      </c>
      <c r="D154" s="7" t="e">
        <f t="array" ref="D154">INDEX('Synergy import (8232022)'!A$1:L$229,MATCH(#REF!,'Synergy import (8232022)'!D$1:D$229,0),7)</f>
        <v>#REF!</v>
      </c>
      <c r="E154" s="8"/>
      <c r="F154" s="9" t="str">
        <f t="array" ref="F154">IF(ISBLANK(G154),"",INDEX('SFSS import'!A$1:F$59,MATCH(G154,'SFSS import'!E$1:E$59,0),3))</f>
        <v/>
      </c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1:18" ht="12.75">
      <c r="A155" s="6" t="s">
        <v>41</v>
      </c>
      <c r="B155" s="6" t="s">
        <v>162</v>
      </c>
      <c r="C155" s="7" t="e">
        <f t="array" ref="C155">INDEX('Synergy import (8232022)'!A$1:L$229,MATCH(#REF!,'Synergy import (8232022)'!D$1:D$229,0),8)</f>
        <v>#REF!</v>
      </c>
      <c r="D155" s="7" t="e">
        <f t="array" ref="D155">INDEX('Synergy import (8232022)'!A$1:L$229,MATCH(#REF!,'Synergy import (8232022)'!D$1:D$229,0),7)</f>
        <v>#REF!</v>
      </c>
      <c r="E155" s="8"/>
      <c r="F155" s="9" t="str">
        <f t="array" ref="F155">IF(ISBLANK(G155),"",INDEX('SFSS import'!A$1:F$59,MATCH(G155,'SFSS import'!E$1:E$59,0),3))</f>
        <v/>
      </c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1:18" ht="12.75">
      <c r="A156" s="6" t="s">
        <v>89</v>
      </c>
      <c r="B156" s="6" t="s">
        <v>164</v>
      </c>
      <c r="C156" s="7" t="e">
        <f t="array" ref="C156">INDEX('Synergy import (8232022)'!A$1:L$229,MATCH(#REF!,'Synergy import (8232022)'!D$1:D$229,0),8)</f>
        <v>#REF!</v>
      </c>
      <c r="D156" s="7" t="e">
        <f t="array" ref="D156">INDEX('Synergy import (8232022)'!A$1:L$229,MATCH(#REF!,'Synergy import (8232022)'!D$1:D$229,0),7)</f>
        <v>#REF!</v>
      </c>
      <c r="E156" s="11"/>
      <c r="F156" s="9" t="str">
        <f t="array" ref="F156">IF(ISBLANK(G156),"",INDEX('SFSS import'!A$1:F$59,MATCH(G156,'SFSS import'!E$1:E$59,0),3))</f>
        <v/>
      </c>
      <c r="G156" s="11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1:18" ht="12.75">
      <c r="A157" s="6" t="s">
        <v>129</v>
      </c>
      <c r="B157" s="6" t="s">
        <v>165</v>
      </c>
      <c r="C157" s="7" t="e">
        <f t="array" ref="C157">INDEX('Synergy import (8232022)'!A$1:L$229,MATCH(#REF!,'Synergy import (8232022)'!D$1:D$229,0),8)</f>
        <v>#REF!</v>
      </c>
      <c r="D157" s="7" t="e">
        <f t="array" ref="D157">INDEX('Synergy import (8232022)'!A$1:L$229,MATCH(#REF!,'Synergy import (8232022)'!D$1:D$229,0),7)</f>
        <v>#REF!</v>
      </c>
      <c r="E157" s="8"/>
      <c r="F157" s="9" t="str">
        <f t="array" ref="F157">IF(ISBLANK(G157),"",INDEX('SFSS import'!A$1:F$59,MATCH(G157,'SFSS import'!E$1:E$59,0),3))</f>
        <v/>
      </c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1:18" ht="12.75">
      <c r="A158" s="6" t="s">
        <v>148</v>
      </c>
      <c r="B158" s="6" t="s">
        <v>173</v>
      </c>
      <c r="C158" s="7" t="e">
        <f t="array" ref="C158">INDEX('Synergy import (8232022)'!A$1:L$229,MATCH(#REF!,'Synergy import (8232022)'!D$1:D$229,0),8)</f>
        <v>#REF!</v>
      </c>
      <c r="D158" s="7" t="e">
        <f t="array" ref="D158">INDEX('Synergy import (8232022)'!A$1:L$229,MATCH(#REF!,'Synergy import (8232022)'!D$1:D$229,0),7)</f>
        <v>#REF!</v>
      </c>
      <c r="E158" s="8"/>
      <c r="F158" s="9" t="str">
        <f t="array" ref="F158">IF(ISBLANK(G158),"",INDEX('SFSS import'!A$1:F$59,MATCH(G158,'SFSS import'!E$1:E$59,0),3))</f>
        <v/>
      </c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</row>
    <row r="159" spans="1:18" ht="12.75">
      <c r="A159" s="6" t="s">
        <v>74</v>
      </c>
      <c r="B159" s="6" t="s">
        <v>177</v>
      </c>
      <c r="C159" s="7" t="e">
        <f t="array" ref="C159">INDEX('Synergy import (8232022)'!A$1:L$229,MATCH(#REF!,'Synergy import (8232022)'!D$1:D$229,0),8)</f>
        <v>#REF!</v>
      </c>
      <c r="D159" s="7" t="e">
        <f t="array" ref="D159">INDEX('Synergy import (8232022)'!A$1:L$229,MATCH(#REF!,'Synergy import (8232022)'!D$1:D$229,0),7)</f>
        <v>#REF!</v>
      </c>
      <c r="E159" s="8"/>
      <c r="F159" s="9" t="str">
        <f t="array" ref="F159">IF(ISBLANK(G159),"",INDEX('SFSS import'!A$1:F$59,MATCH(G159,'SFSS import'!E$1:E$59,0),3))</f>
        <v/>
      </c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</row>
    <row r="160" spans="1:18" ht="12.75">
      <c r="A160" s="6" t="s">
        <v>65</v>
      </c>
      <c r="B160" s="6" t="s">
        <v>178</v>
      </c>
      <c r="C160" s="7" t="e">
        <f t="array" ref="C160">INDEX('Synergy import (8232022)'!A$1:L$229,MATCH(#REF!,'Synergy import (8232022)'!D$1:D$229,0),8)</f>
        <v>#REF!</v>
      </c>
      <c r="D160" s="7" t="e">
        <f t="array" ref="D160">INDEX('Synergy import (8232022)'!A$1:L$229,MATCH(#REF!,'Synergy import (8232022)'!D$1:D$229,0),7)</f>
        <v>#REF!</v>
      </c>
      <c r="E160" s="8"/>
      <c r="F160" s="9" t="str">
        <f t="array" ref="F160">IF(ISBLANK(G160),"",INDEX('SFSS import'!A$1:F$59,MATCH(G160,'SFSS import'!E$1:E$59,0),3))</f>
        <v/>
      </c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</row>
    <row r="161" spans="1:18" ht="12.75">
      <c r="A161" s="6" t="s">
        <v>211</v>
      </c>
      <c r="B161" s="6" t="s">
        <v>212</v>
      </c>
      <c r="C161" s="7" t="e">
        <f t="array" ref="C161">INDEX('Synergy import (8232022)'!A$1:L$229,MATCH(#REF!,'Synergy import (8232022)'!D$1:D$229,0),8)</f>
        <v>#REF!</v>
      </c>
      <c r="D161" s="7" t="e">
        <f t="array" ref="D161">INDEX('Synergy import (8232022)'!A$1:L$229,MATCH(#REF!,'Synergy import (8232022)'!D$1:D$229,0),7)</f>
        <v>#REF!</v>
      </c>
      <c r="E161" s="8"/>
      <c r="F161" s="9" t="str">
        <f t="array" ref="F161">IF(ISBLANK(G161),"",INDEX('SFSS import'!A$1:F$59,MATCH(G161,'SFSS import'!E$1:E$59,0),3))</f>
        <v/>
      </c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</row>
    <row r="162" spans="1:18" ht="12.75">
      <c r="A162" s="5"/>
      <c r="B162" s="6" t="s">
        <v>216</v>
      </c>
      <c r="C162" s="7" t="e">
        <f t="array" ref="C162">INDEX('Synergy import (8232022)'!A$1:L$229,MATCH(#REF!,'Synergy import (8232022)'!D$1:D$229,0),8)</f>
        <v>#REF!</v>
      </c>
      <c r="D162" s="7" t="e">
        <f t="array" ref="D162">INDEX('Synergy import (8232022)'!A$1:L$229,MATCH(#REF!,'Synergy import (8232022)'!D$1:D$229,0),7)</f>
        <v>#REF!</v>
      </c>
      <c r="E162" s="8"/>
      <c r="F162" s="9" t="str">
        <f t="array" ref="F162">IF(ISBLANK(G162),"",INDEX('SFSS import'!A$1:F$59,MATCH(G162,'SFSS import'!E$1:E$59,0),3))</f>
        <v/>
      </c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</row>
    <row r="163" spans="1:18" ht="12.75">
      <c r="A163" s="6" t="s">
        <v>195</v>
      </c>
      <c r="B163" s="6" t="s">
        <v>230</v>
      </c>
      <c r="C163" s="7" t="e">
        <f t="array" ref="C163">INDEX('Synergy import (8232022)'!A$1:L$229,MATCH(#REF!,'Synergy import (8232022)'!D$1:D$229,0),8)</f>
        <v>#REF!</v>
      </c>
      <c r="D163" s="7" t="e">
        <f t="array" ref="D163">INDEX('Synergy import (8232022)'!A$1:L$229,MATCH(#REF!,'Synergy import (8232022)'!D$1:D$229,0),7)</f>
        <v>#REF!</v>
      </c>
      <c r="E163" s="8"/>
      <c r="F163" s="9" t="str">
        <f t="array" ref="F163">IF(ISBLANK(G163),"",INDEX('SFSS import'!A$1:F$59,MATCH(G163,'SFSS import'!E$1:E$59,0),3))</f>
        <v/>
      </c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</row>
    <row r="164" spans="1:18" ht="12.75">
      <c r="A164" s="6" t="s">
        <v>195</v>
      </c>
      <c r="B164" s="6" t="s">
        <v>232</v>
      </c>
      <c r="C164" s="7" t="e">
        <f t="array" ref="C164">INDEX('Synergy import (8232022)'!A$1:L$229,MATCH(#REF!,'Synergy import (8232022)'!D$1:D$229,0),8)</f>
        <v>#REF!</v>
      </c>
      <c r="D164" s="7" t="e">
        <f t="array" ref="D164">INDEX('Synergy import (8232022)'!A$1:L$229,MATCH(#REF!,'Synergy import (8232022)'!D$1:D$229,0),7)</f>
        <v>#REF!</v>
      </c>
      <c r="E164" s="8"/>
      <c r="F164" s="9" t="str">
        <f t="array" ref="F164">IF(ISBLANK(G164),"",INDEX('SFSS import'!A$1:F$59,MATCH(G164,'SFSS import'!E$1:E$59,0),3))</f>
        <v/>
      </c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 ht="12.75">
      <c r="A165" s="6" t="s">
        <v>211</v>
      </c>
      <c r="B165" s="6" t="s">
        <v>236</v>
      </c>
      <c r="C165" s="7" t="e">
        <f t="array" ref="C165">INDEX('Synergy import (8232022)'!A$1:L$229,MATCH(#REF!,'Synergy import (8232022)'!D$1:D$229,0),8)</f>
        <v>#REF!</v>
      </c>
      <c r="D165" s="7" t="e">
        <f t="array" ref="D165">INDEX('Synergy import (8232022)'!A$1:L$229,MATCH(#REF!,'Synergy import (8232022)'!D$1:D$229,0),7)</f>
        <v>#REF!</v>
      </c>
      <c r="E165" s="8"/>
      <c r="F165" s="9" t="str">
        <f t="array" ref="F165">IF(ISBLANK(G165),"",INDEX('SFSS import'!A$1:F$59,MATCH(G165,'SFSS import'!E$1:E$59,0),3))</f>
        <v/>
      </c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</row>
    <row r="166" spans="1:18" ht="12.75">
      <c r="A166" s="5"/>
      <c r="B166" s="6" t="s">
        <v>254</v>
      </c>
      <c r="C166" s="7" t="e">
        <f t="array" ref="C166">INDEX('Synergy import (8232022)'!A$1:L$229,MATCH(#REF!,'Synergy import (8232022)'!D$1:D$229,0),8)</f>
        <v>#REF!</v>
      </c>
      <c r="D166" s="7" t="e">
        <f t="array" ref="D166">INDEX('Synergy import (8232022)'!A$1:L$229,MATCH(#REF!,'Synergy import (8232022)'!D$1:D$229,0),7)</f>
        <v>#REF!</v>
      </c>
      <c r="E166" s="8"/>
      <c r="F166" s="9" t="str">
        <f t="array" ref="F166">IF(ISBLANK(G166),"",INDEX('SFSS import'!A$1:F$59,MATCH(G166,'SFSS import'!E$1:E$59,0),3))</f>
        <v/>
      </c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</row>
    <row r="167" spans="1:18" ht="12.75">
      <c r="A167" s="5"/>
      <c r="B167" s="6" t="s">
        <v>255</v>
      </c>
      <c r="C167" s="7" t="e">
        <f t="array" ref="C167">INDEX('Synergy import (8232022)'!A$1:L$229,MATCH(#REF!,'Synergy import (8232022)'!D$1:D$229,0),8)</f>
        <v>#REF!</v>
      </c>
      <c r="D167" s="7" t="e">
        <f t="array" ref="D167">INDEX('Synergy import (8232022)'!A$1:L$229,MATCH(#REF!,'Synergy import (8232022)'!D$1:D$229,0),7)</f>
        <v>#REF!</v>
      </c>
      <c r="E167" s="11"/>
      <c r="F167" s="9" t="str">
        <f t="array" ref="F167">IF(ISBLANK(G167),"",INDEX('SFSS import'!A$1:F$59,MATCH(G167,'SFSS import'!E$1:E$59,0),3))</f>
        <v/>
      </c>
      <c r="G167" s="11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</row>
    <row r="168" spans="1:18" ht="12.75">
      <c r="A168" s="5"/>
      <c r="B168" s="6" t="s">
        <v>257</v>
      </c>
      <c r="C168" s="7" t="e">
        <f t="array" ref="C168">INDEX('Synergy import (8232022)'!A$1:L$229,MATCH(#REF!,'Synergy import (8232022)'!D$1:D$229,0),8)</f>
        <v>#REF!</v>
      </c>
      <c r="D168" s="7" t="e">
        <f t="array" ref="D168">INDEX('Synergy import (8232022)'!A$1:L$229,MATCH(#REF!,'Synergy import (8232022)'!D$1:D$229,0),7)</f>
        <v>#REF!</v>
      </c>
      <c r="E168" s="8"/>
      <c r="F168" s="9" t="str">
        <f t="array" ref="F168">IF(ISBLANK(G168),"",INDEX('SFSS import'!A$1:F$59,MATCH(G168,'SFSS import'!E$1:E$59,0),3))</f>
        <v/>
      </c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</row>
    <row r="169" spans="1:18" ht="12.75">
      <c r="A169" s="5"/>
      <c r="B169" s="6" t="s">
        <v>258</v>
      </c>
      <c r="C169" s="7" t="e">
        <f t="array" ref="C169">INDEX('Synergy import (8232022)'!A$1:L$229,MATCH(#REF!,'Synergy import (8232022)'!D$1:D$229,0),8)</f>
        <v>#REF!</v>
      </c>
      <c r="D169" s="7" t="e">
        <f t="array" ref="D169">INDEX('Synergy import (8232022)'!A$1:L$229,MATCH(#REF!,'Synergy import (8232022)'!D$1:D$229,0),7)</f>
        <v>#REF!</v>
      </c>
      <c r="E169" s="11"/>
      <c r="F169" s="9" t="str">
        <f t="array" ref="F169">IF(ISBLANK(G169),"",INDEX('SFSS import'!A$1:F$59,MATCH(G169,'SFSS import'!E$1:E$59,0),3))</f>
        <v/>
      </c>
      <c r="G169" s="11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 ht="12.75">
      <c r="A170" s="5"/>
      <c r="B170" s="6" t="s">
        <v>259</v>
      </c>
      <c r="C170" s="7" t="e">
        <f t="array" ref="C170">INDEX('Synergy import (8232022)'!A$1:L$229,MATCH(#REF!,'Synergy import (8232022)'!D$1:D$229,0),8)</f>
        <v>#REF!</v>
      </c>
      <c r="D170" s="7" t="e">
        <f t="array" ref="D170">INDEX('Synergy import (8232022)'!A$1:L$229,MATCH(#REF!,'Synergy import (8232022)'!D$1:D$229,0),7)</f>
        <v>#REF!</v>
      </c>
      <c r="E170" s="11"/>
      <c r="F170" s="9" t="str">
        <f t="array" ref="F170">IF(ISBLANK(G170),"",INDEX('SFSS import'!A$1:F$59,MATCH(G170,'SFSS import'!E$1:E$59,0),3))</f>
        <v/>
      </c>
      <c r="G170" s="11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</row>
    <row r="171" spans="1:18" ht="12.75">
      <c r="A171" s="5"/>
      <c r="B171" s="6" t="s">
        <v>260</v>
      </c>
      <c r="C171" s="7" t="e">
        <f t="array" ref="C171">INDEX('Synergy import (8232022)'!A$1:L$229,MATCH(#REF!,'Synergy import (8232022)'!D$1:D$229,0),8)</f>
        <v>#REF!</v>
      </c>
      <c r="D171" s="7" t="e">
        <f t="array" ref="D171">INDEX('Synergy import (8232022)'!A$1:L$229,MATCH(#REF!,'Synergy import (8232022)'!D$1:D$229,0),7)</f>
        <v>#REF!</v>
      </c>
      <c r="E171" s="8"/>
      <c r="F171" s="9" t="str">
        <f t="array" ref="F171">IF(ISBLANK(G171),"",INDEX('SFSS import'!A$1:F$59,MATCH(G171,'SFSS import'!E$1:E$59,0),3))</f>
        <v/>
      </c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</row>
    <row r="172" spans="1:18" ht="12.75">
      <c r="A172" s="6" t="s">
        <v>122</v>
      </c>
      <c r="B172" s="6" t="s">
        <v>262</v>
      </c>
      <c r="C172" s="7" t="e">
        <f t="array" ref="C172">INDEX('Synergy import (8232022)'!A$1:L$229,MATCH(#REF!,'Synergy import (8232022)'!D$1:D$229,0),8)</f>
        <v>#REF!</v>
      </c>
      <c r="D172" s="7" t="e">
        <f t="array" ref="D172">INDEX('Synergy import (8232022)'!A$1:L$229,MATCH(#REF!,'Synergy import (8232022)'!D$1:D$229,0),7)</f>
        <v>#REF!</v>
      </c>
      <c r="E172" s="8"/>
      <c r="F172" s="9" t="str">
        <f t="array" ref="F172">IF(ISBLANK(G172),"",INDEX('SFSS import'!A$1:F$59,MATCH(G172,'SFSS import'!E$1:E$59,0),3))</f>
        <v/>
      </c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</row>
    <row r="173" spans="1:18" ht="12.75">
      <c r="A173" s="6" t="s">
        <v>211</v>
      </c>
      <c r="B173" s="6" t="s">
        <v>264</v>
      </c>
      <c r="C173" s="7" t="e">
        <f t="array" ref="C173">INDEX('Synergy import (8232022)'!A$1:L$229,MATCH(#REF!,'Synergy import (8232022)'!D$1:D$229,0),8)</f>
        <v>#REF!</v>
      </c>
      <c r="D173" s="7" t="e">
        <f t="array" ref="D173">INDEX('Synergy import (8232022)'!A$1:L$229,MATCH(#REF!,'Synergy import (8232022)'!D$1:D$229,0),7)</f>
        <v>#REF!</v>
      </c>
      <c r="E173" s="8"/>
      <c r="F173" s="9" t="str">
        <f t="array" ref="F173">IF(ISBLANK(G173),"",INDEX('SFSS import'!A$1:F$59,MATCH(G173,'SFSS import'!E$1:E$59,0),3))</f>
        <v/>
      </c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</row>
    <row r="174" spans="1:18" ht="12.75">
      <c r="A174" s="6" t="s">
        <v>25</v>
      </c>
      <c r="B174" s="6" t="s">
        <v>265</v>
      </c>
      <c r="C174" s="7" t="e">
        <f t="array" ref="C174">INDEX('Synergy import (8232022)'!A$1:L$229,MATCH(#REF!,'Synergy import (8232022)'!D$1:D$229,0),8)</f>
        <v>#REF!</v>
      </c>
      <c r="D174" s="7" t="e">
        <f t="array" ref="D174">INDEX('Synergy import (8232022)'!A$1:L$229,MATCH(#REF!,'Synergy import (8232022)'!D$1:D$229,0),7)</f>
        <v>#REF!</v>
      </c>
      <c r="E174" s="8"/>
      <c r="F174" s="9" t="str">
        <f t="array" ref="F174">IF(ISBLANK(G174),"",INDEX('SFSS import'!A$1:F$59,MATCH(G174,'SFSS import'!E$1:E$59,0),3))</f>
        <v/>
      </c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</row>
    <row r="175" spans="1:18" ht="12.75">
      <c r="A175" s="6" t="s">
        <v>69</v>
      </c>
      <c r="B175" s="6" t="s">
        <v>267</v>
      </c>
      <c r="C175" s="7" t="e">
        <f t="array" ref="C175">INDEX('Synergy import (8232022)'!A$1:L$229,MATCH(#REF!,'Synergy import (8232022)'!D$1:D$229,0),8)</f>
        <v>#REF!</v>
      </c>
      <c r="D175" s="7" t="e">
        <f t="array" ref="D175">INDEX('Synergy import (8232022)'!A$1:L$229,MATCH(#REF!,'Synergy import (8232022)'!D$1:D$229,0),7)</f>
        <v>#REF!</v>
      </c>
      <c r="E175" s="11"/>
      <c r="F175" s="9" t="str">
        <f t="array" ref="F175">IF(ISBLANK(G175),"",INDEX('SFSS import'!A$1:F$59,MATCH(G175,'SFSS import'!E$1:E$59,0),3))</f>
        <v/>
      </c>
      <c r="G175" s="11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</row>
    <row r="176" spans="1:18" ht="12.75">
      <c r="A176" s="6" t="s">
        <v>211</v>
      </c>
      <c r="B176" s="6" t="s">
        <v>297</v>
      </c>
      <c r="C176" s="7" t="e">
        <f t="array" ref="C176">INDEX('Synergy import (8232022)'!A$1:L$229,MATCH(#REF!,'Synergy import (8232022)'!D$1:D$229,0),8)</f>
        <v>#REF!</v>
      </c>
      <c r="D176" s="7" t="e">
        <f t="array" ref="D176">INDEX('Synergy import (8232022)'!A$1:L$229,MATCH(#REF!,'Synergy import (8232022)'!D$1:D$229,0),7)</f>
        <v>#REF!</v>
      </c>
      <c r="E176" s="8"/>
      <c r="F176" s="9" t="str">
        <f t="array" ref="F176">IF(ISBLANK(G176),"",INDEX('SFSS import'!A$1:F$59,MATCH(G176,'SFSS import'!E$1:E$59,0),3))</f>
        <v/>
      </c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</row>
    <row r="177" spans="1:18" ht="12.75">
      <c r="A177" s="6" t="s">
        <v>25</v>
      </c>
      <c r="B177" s="6" t="s">
        <v>313</v>
      </c>
      <c r="C177" s="7" t="e">
        <f t="array" ref="C177">INDEX('Synergy import (8232022)'!A$1:L$229,MATCH(#REF!,'Synergy import (8232022)'!D$1:D$229,0),8)</f>
        <v>#REF!</v>
      </c>
      <c r="D177" s="7" t="e">
        <f t="array" ref="D177">INDEX('Synergy import (8232022)'!A$1:L$229,MATCH(#REF!,'Synergy import (8232022)'!D$1:D$229,0),7)</f>
        <v>#REF!</v>
      </c>
      <c r="E177" s="11"/>
      <c r="F177" s="9" t="str">
        <f t="array" ref="F177">IF(ISBLANK(G177),"",INDEX('SFSS import'!A$1:F$59,MATCH(G177,'SFSS import'!E$1:E$59,0),3))</f>
        <v/>
      </c>
      <c r="G177" s="11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</row>
    <row r="178" spans="1:18" ht="12.75">
      <c r="A178" s="6" t="s">
        <v>69</v>
      </c>
      <c r="B178" s="6" t="s">
        <v>339</v>
      </c>
      <c r="C178" s="7" t="e">
        <f t="array" ref="C178">INDEX('Synergy import (8232022)'!A$1:L$229,MATCH(#REF!,'Synergy import (8232022)'!D$1:D$229,0),8)</f>
        <v>#REF!</v>
      </c>
      <c r="D178" s="7" t="e">
        <f t="array" ref="D178">INDEX('Synergy import (8232022)'!A$1:L$229,MATCH(#REF!,'Synergy import (8232022)'!D$1:D$229,0),7)</f>
        <v>#REF!</v>
      </c>
      <c r="E178" s="11"/>
      <c r="F178" s="9" t="str">
        <f t="array" ref="F178">IF(ISBLANK(G178),"",INDEX('SFSS import'!A$1:F$59,MATCH(G178,'SFSS import'!E$1:E$59,0),3))</f>
        <v/>
      </c>
      <c r="G178" s="11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</row>
    <row r="179" spans="1:18" ht="12.75">
      <c r="A179" s="6" t="s">
        <v>65</v>
      </c>
      <c r="B179" s="6" t="s">
        <v>355</v>
      </c>
      <c r="C179" s="7" t="e">
        <f t="array" ref="C179">INDEX('Synergy import (8232022)'!A$1:L$229,MATCH(#REF!,'Synergy import (8232022)'!D$1:D$229,0),8)</f>
        <v>#REF!</v>
      </c>
      <c r="D179" s="7" t="e">
        <f t="array" ref="D179">INDEX('Synergy import (8232022)'!A$1:L$229,MATCH(#REF!,'Synergy import (8232022)'!D$1:D$229,0),7)</f>
        <v>#REF!</v>
      </c>
      <c r="E179" s="8"/>
      <c r="F179" s="9" t="str">
        <f t="array" ref="F179">IF(ISBLANK(G179),"",INDEX('SFSS import'!A$1:F$59,MATCH(G179,'SFSS import'!E$1:E$59,0),3))</f>
        <v/>
      </c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</row>
    <row r="180" spans="1:18" ht="12.75">
      <c r="A180" s="6" t="s">
        <v>25</v>
      </c>
      <c r="B180" s="6" t="s">
        <v>366</v>
      </c>
      <c r="C180" s="7" t="e">
        <f t="array" ref="C180">INDEX('Synergy import (8232022)'!A$1:L$229,MATCH(#REF!,'Synergy import (8232022)'!D$1:D$229,0),8)</f>
        <v>#REF!</v>
      </c>
      <c r="D180" s="7" t="e">
        <f t="array" ref="D180">INDEX('Synergy import (8232022)'!A$1:L$229,MATCH(#REF!,'Synergy import (8232022)'!D$1:D$229,0),7)</f>
        <v>#REF!</v>
      </c>
      <c r="E180" s="8"/>
      <c r="F180" s="9" t="str">
        <f t="array" ref="F180">IF(ISBLANK(G180),"",INDEX('SFSS import'!A$1:F$59,MATCH(G180,'SFSS import'!E$1:E$59,0),3))</f>
        <v/>
      </c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</row>
    <row r="181" spans="1:18" ht="12.75">
      <c r="A181" s="6" t="s">
        <v>25</v>
      </c>
      <c r="B181" s="6" t="s">
        <v>381</v>
      </c>
      <c r="C181" s="7" t="e">
        <f t="array" ref="C181">INDEX('Synergy import (8232022)'!A$1:L$229,MATCH(#REF!,'Synergy import (8232022)'!D$1:D$229,0),8)</f>
        <v>#REF!</v>
      </c>
      <c r="D181" s="7" t="e">
        <f t="array" ref="D181">INDEX('Synergy import (8232022)'!A$1:L$229,MATCH(#REF!,'Synergy import (8232022)'!D$1:D$229,0),7)</f>
        <v>#REF!</v>
      </c>
      <c r="E181" s="8"/>
      <c r="F181" s="9" t="str">
        <f t="array" ref="F181">IF(ISBLANK(G181),"",INDEX('SFSS import'!A$1:F$59,MATCH(G181,'SFSS import'!E$1:E$59,0),3))</f>
        <v/>
      </c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</row>
    <row r="182" spans="1:18" ht="12.75">
      <c r="A182" s="6" t="s">
        <v>211</v>
      </c>
      <c r="B182" s="6" t="s">
        <v>395</v>
      </c>
      <c r="C182" s="7" t="e">
        <f t="array" ref="C182">INDEX('Synergy import (8232022)'!A$1:L$229,MATCH(#REF!,'Synergy import (8232022)'!D$1:D$229,0),8)</f>
        <v>#REF!</v>
      </c>
      <c r="D182" s="7" t="e">
        <f t="array" ref="D182">INDEX('Synergy import (8232022)'!A$1:L$229,MATCH(#REF!,'Synergy import (8232022)'!D$1:D$229,0),7)</f>
        <v>#REF!</v>
      </c>
      <c r="E182" s="11"/>
      <c r="F182" s="9" t="str">
        <f t="array" ref="F182">IF(ISBLANK(G182),"",INDEX('SFSS import'!A$1:F$59,MATCH(G182,'SFSS import'!E$1:E$59,0),3))</f>
        <v/>
      </c>
      <c r="G182" s="11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</row>
    <row r="183" spans="1:18" ht="12.75">
      <c r="A183" s="6" t="s">
        <v>148</v>
      </c>
      <c r="B183" s="6" t="s">
        <v>397</v>
      </c>
      <c r="C183" s="7" t="e">
        <f t="array" ref="C183">INDEX('Synergy import (8232022)'!A$1:L$229,MATCH(#REF!,'Synergy import (8232022)'!D$1:D$229,0),8)</f>
        <v>#REF!</v>
      </c>
      <c r="D183" s="7" t="e">
        <f t="array" ref="D183">INDEX('Synergy import (8232022)'!A$1:L$229,MATCH(#REF!,'Synergy import (8232022)'!D$1:D$229,0),7)</f>
        <v>#REF!</v>
      </c>
      <c r="E183" s="11"/>
      <c r="F183" s="9" t="str">
        <f t="array" ref="F183">IF(ISBLANK(G183),"",INDEX('SFSS import'!A$1:F$59,MATCH(G183,'SFSS import'!E$1:E$59,0),3))</f>
        <v/>
      </c>
      <c r="G183" s="11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</row>
    <row r="184" spans="1:18" ht="12.75">
      <c r="A184" s="6" t="s">
        <v>195</v>
      </c>
      <c r="B184" s="6" t="s">
        <v>402</v>
      </c>
      <c r="C184" s="7" t="e">
        <f t="array" ref="C184">INDEX('Synergy import (8232022)'!A$1:L$229,MATCH(#REF!,'Synergy import (8232022)'!D$1:D$229,0),8)</f>
        <v>#REF!</v>
      </c>
      <c r="D184" s="7" t="e">
        <f t="array" ref="D184">INDEX('Synergy import (8232022)'!A$1:L$229,MATCH(#REF!,'Synergy import (8232022)'!D$1:D$229,0),7)</f>
        <v>#REF!</v>
      </c>
      <c r="E184" s="8"/>
      <c r="F184" s="9" t="str">
        <f t="array" ref="F184">IF(ISBLANK(G184),"",INDEX('SFSS import'!A$1:F$59,MATCH(G184,'SFSS import'!E$1:E$59,0),3))</f>
        <v/>
      </c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</row>
    <row r="185" spans="1:18" ht="12.75">
      <c r="A185" s="6" t="s">
        <v>25</v>
      </c>
      <c r="B185" s="6" t="s">
        <v>403</v>
      </c>
      <c r="C185" s="7" t="e">
        <f t="array" ref="C185">INDEX('Synergy import (8232022)'!A$1:L$229,MATCH(#REF!,'Synergy import (8232022)'!D$1:D$229,0),8)</f>
        <v>#REF!</v>
      </c>
      <c r="D185" s="7" t="e">
        <f t="array" ref="D185">INDEX('Synergy import (8232022)'!A$1:L$229,MATCH(#REF!,'Synergy import (8232022)'!D$1:D$229,0),7)</f>
        <v>#REF!</v>
      </c>
      <c r="E185" s="8"/>
      <c r="F185" s="9" t="str">
        <f t="array" ref="F185">IF(ISBLANK(G185),"",INDEX('SFSS import'!A$1:F$59,MATCH(G185,'SFSS import'!E$1:E$59,0),3))</f>
        <v/>
      </c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</row>
    <row r="186" spans="1:18" ht="12.75">
      <c r="A186" s="6" t="s">
        <v>195</v>
      </c>
      <c r="B186" s="6" t="s">
        <v>412</v>
      </c>
      <c r="C186" s="7" t="e">
        <f t="array" ref="C186">INDEX('Synergy import (8232022)'!A$1:L$229,MATCH(#REF!,'Synergy import (8232022)'!D$1:D$229,0),8)</f>
        <v>#REF!</v>
      </c>
      <c r="D186" s="7" t="e">
        <f t="array" ref="D186">INDEX('Synergy import (8232022)'!A$1:L$229,MATCH(#REF!,'Synergy import (8232022)'!D$1:D$229,0),7)</f>
        <v>#REF!</v>
      </c>
      <c r="E186" s="8"/>
      <c r="F186" s="9" t="str">
        <f t="array" ref="F186">IF(ISBLANK(G186),"",INDEX('SFSS import'!A$1:F$59,MATCH(G186,'SFSS import'!E$1:E$59,0),3))</f>
        <v/>
      </c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</row>
    <row r="187" spans="1:18" ht="12.75">
      <c r="A187" s="6" t="s">
        <v>421</v>
      </c>
      <c r="B187" s="6" t="s">
        <v>422</v>
      </c>
      <c r="C187" s="7" t="e">
        <f t="array" ref="C187">INDEX('Synergy import (8232022)'!A$1:L$229,MATCH(#REF!,'Synergy import (8232022)'!D$1:D$229,0),8)</f>
        <v>#REF!</v>
      </c>
      <c r="D187" s="7" t="e">
        <f t="array" ref="D187">INDEX('Synergy import (8232022)'!A$1:L$229,MATCH(#REF!,'Synergy import (8232022)'!D$1:D$229,0),7)</f>
        <v>#REF!</v>
      </c>
      <c r="E187" s="8"/>
      <c r="F187" s="9" t="str">
        <f t="array" ref="F187">IF(ISBLANK(G187),"",INDEX('SFSS import'!A$1:F$59,MATCH(G187,'SFSS import'!E$1:E$59,0),3))</f>
        <v/>
      </c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</row>
    <row r="188" spans="1:18" ht="12.75">
      <c r="A188" s="6" t="s">
        <v>25</v>
      </c>
      <c r="B188" s="6" t="s">
        <v>453</v>
      </c>
      <c r="C188" s="7" t="e">
        <f t="array" ref="C188">INDEX('Synergy import (8232022)'!A$1:L$229,MATCH(#REF!,'Synergy import (8232022)'!D$1:D$229,0),8)</f>
        <v>#REF!</v>
      </c>
      <c r="D188" s="7" t="e">
        <f t="array" ref="D188">INDEX('Synergy import (8232022)'!A$1:L$229,MATCH(#REF!,'Synergy import (8232022)'!D$1:D$229,0),7)</f>
        <v>#REF!</v>
      </c>
      <c r="E188" s="8"/>
      <c r="F188" s="9" t="str">
        <f t="array" ref="F188">IF(ISBLANK(G188),"",INDEX('SFSS import'!A$1:F$59,MATCH(G188,'SFSS import'!E$1:E$59,0),3))</f>
        <v/>
      </c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</row>
    <row r="189" spans="1:18" ht="12.75">
      <c r="A189" s="6" t="s">
        <v>74</v>
      </c>
      <c r="B189" s="6" t="s">
        <v>454</v>
      </c>
      <c r="C189" s="7" t="e">
        <f t="array" ref="C189">INDEX('Synergy import (8232022)'!A$1:L$229,MATCH(#REF!,'Synergy import (8232022)'!D$1:D$229,0),8)</f>
        <v>#REF!</v>
      </c>
      <c r="D189" s="7" t="e">
        <f t="array" ref="D189">INDEX('Synergy import (8232022)'!A$1:L$229,MATCH(#REF!,'Synergy import (8232022)'!D$1:D$229,0),7)</f>
        <v>#REF!</v>
      </c>
      <c r="E189" s="8"/>
      <c r="F189" s="9" t="str">
        <f t="array" ref="F189">IF(ISBLANK(G189),"",INDEX('SFSS import'!A$1:F$59,MATCH(G189,'SFSS import'!E$1:E$59,0),3))</f>
        <v/>
      </c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</row>
    <row r="190" spans="1:18" ht="12.75">
      <c r="A190" s="6" t="s">
        <v>69</v>
      </c>
      <c r="B190" s="6" t="s">
        <v>468</v>
      </c>
      <c r="C190" s="7" t="e">
        <f t="array" ref="C190">INDEX('Synergy import (8232022)'!A$1:L$229,MATCH(#REF!,'Synergy import (8232022)'!D$1:D$229,0),8)</f>
        <v>#REF!</v>
      </c>
      <c r="D190" s="7" t="e">
        <f t="array" ref="D190">INDEX('Synergy import (8232022)'!A$1:L$229,MATCH(#REF!,'Synergy import (8232022)'!D$1:D$229,0),7)</f>
        <v>#REF!</v>
      </c>
      <c r="E190" s="8"/>
      <c r="F190" s="9" t="str">
        <f t="array" ref="F190">IF(ISBLANK(G190),"",INDEX('SFSS import'!A$1:F$59,MATCH(G190,'SFSS import'!E$1:E$59,0),3))</f>
        <v/>
      </c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</row>
    <row r="191" spans="1:18" ht="12.75">
      <c r="A191" s="6" t="s">
        <v>69</v>
      </c>
      <c r="B191" s="6" t="s">
        <v>476</v>
      </c>
      <c r="C191" s="7" t="e">
        <f t="array" ref="C191">INDEX('Synergy import (8232022)'!A$1:L$229,MATCH(#REF!,'Synergy import (8232022)'!D$1:D$229,0),8)</f>
        <v>#REF!</v>
      </c>
      <c r="D191" s="7" t="e">
        <f t="array" ref="D191">INDEX('Synergy import (8232022)'!A$1:L$229,MATCH(#REF!,'Synergy import (8232022)'!D$1:D$229,0),7)</f>
        <v>#REF!</v>
      </c>
      <c r="E191" s="11"/>
      <c r="F191" s="9" t="str">
        <f t="array" ref="F191">IF(ISBLANK(G191),"",INDEX('SFSS import'!A$1:F$59,MATCH(G191,'SFSS import'!E$1:E$59,0),3))</f>
        <v/>
      </c>
      <c r="G191" s="11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</row>
    <row r="192" spans="1:18" ht="12.75">
      <c r="A192" s="6" t="s">
        <v>421</v>
      </c>
      <c r="B192" s="6" t="s">
        <v>481</v>
      </c>
      <c r="C192" s="7" t="e">
        <f t="array" ref="C192">INDEX('Synergy import (8232022)'!A$1:L$229,MATCH(#REF!,'Synergy import (8232022)'!D$1:D$229,0),8)</f>
        <v>#REF!</v>
      </c>
      <c r="D192" s="7" t="e">
        <f t="array" ref="D192">INDEX('Synergy import (8232022)'!A$1:L$229,MATCH(#REF!,'Synergy import (8232022)'!D$1:D$229,0),7)</f>
        <v>#REF!</v>
      </c>
      <c r="E192" s="11"/>
      <c r="F192" s="9" t="str">
        <f t="array" ref="F192">IF(ISBLANK(G192),"",INDEX('SFSS import'!A$1:F$59,MATCH(G192,'SFSS import'!E$1:E$59,0),3))</f>
        <v/>
      </c>
      <c r="G192" s="11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</row>
    <row r="193" spans="1:18" ht="12.75">
      <c r="A193" s="6" t="s">
        <v>421</v>
      </c>
      <c r="B193" s="6" t="s">
        <v>483</v>
      </c>
      <c r="C193" s="7" t="e">
        <f t="array" ref="C193">INDEX('Synergy import (8232022)'!A$1:L$229,MATCH(#REF!,'Synergy import (8232022)'!D$1:D$229,0),8)</f>
        <v>#REF!</v>
      </c>
      <c r="D193" s="7" t="e">
        <f t="array" ref="D193">INDEX('Synergy import (8232022)'!A$1:L$229,MATCH(#REF!,'Synergy import (8232022)'!D$1:D$229,0),7)</f>
        <v>#REF!</v>
      </c>
      <c r="E193" s="8"/>
      <c r="F193" s="9" t="str">
        <f t="array" ref="F193">IF(ISBLANK(G193),"",INDEX('SFSS import'!A$1:F$59,MATCH(G193,'SFSS import'!E$1:E$59,0),3))</f>
        <v/>
      </c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</row>
    <row r="194" spans="1:18" ht="12.75">
      <c r="A194" s="6" t="s">
        <v>421</v>
      </c>
      <c r="B194" s="6" t="s">
        <v>484</v>
      </c>
      <c r="C194" s="7" t="e">
        <f t="array" ref="C194">INDEX('Synergy import (8232022)'!A$1:L$229,MATCH(#REF!,'Synergy import (8232022)'!D$1:D$229,0),8)</f>
        <v>#REF!</v>
      </c>
      <c r="D194" s="7" t="e">
        <f t="array" ref="D194">INDEX('Synergy import (8232022)'!A$1:L$229,MATCH(#REF!,'Synergy import (8232022)'!D$1:D$229,0),7)</f>
        <v>#REF!</v>
      </c>
      <c r="E194" s="8"/>
      <c r="F194" s="9" t="str">
        <f t="array" ref="F194">IF(ISBLANK(G194),"",INDEX('SFSS import'!A$1:F$59,MATCH(G194,'SFSS import'!E$1:E$59,0),3))</f>
        <v/>
      </c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</row>
    <row r="195" spans="1:18" ht="12.75">
      <c r="A195" s="6" t="s">
        <v>65</v>
      </c>
      <c r="B195" s="6" t="s">
        <v>486</v>
      </c>
      <c r="C195" s="7" t="e">
        <f t="array" ref="C195">INDEX('Synergy import (8232022)'!A$1:L$229,MATCH(#REF!,'Synergy import (8232022)'!D$1:D$229,0),8)</f>
        <v>#REF!</v>
      </c>
      <c r="D195" s="7" t="e">
        <f t="array" ref="D195">INDEX('Synergy import (8232022)'!A$1:L$229,MATCH(#REF!,'Synergy import (8232022)'!D$1:D$229,0),7)</f>
        <v>#REF!</v>
      </c>
      <c r="E195" s="8"/>
      <c r="F195" s="9" t="str">
        <f t="array" ref="F195">IF(ISBLANK(G195),"",INDEX('SFSS import'!A$1:F$59,MATCH(G195,'SFSS import'!E$1:E$59,0),3))</f>
        <v/>
      </c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</row>
    <row r="196" spans="1:18" ht="12.75">
      <c r="A196" s="6" t="s">
        <v>41</v>
      </c>
      <c r="B196" s="6" t="s">
        <v>487</v>
      </c>
      <c r="C196" s="7" t="e">
        <f t="array" ref="C196">INDEX('Synergy import (8232022)'!A$1:L$229,MATCH(#REF!,'Synergy import (8232022)'!D$1:D$229,0),8)</f>
        <v>#REF!</v>
      </c>
      <c r="D196" s="7" t="e">
        <f t="array" ref="D196">INDEX('Synergy import (8232022)'!A$1:L$229,MATCH(#REF!,'Synergy import (8232022)'!D$1:D$229,0),7)</f>
        <v>#REF!</v>
      </c>
      <c r="E196" s="8"/>
      <c r="F196" s="9" t="str">
        <f t="array" ref="F196">IF(ISBLANK(G196),"",INDEX('SFSS import'!A$1:F$59,MATCH(G196,'SFSS import'!E$1:E$59,0),3))</f>
        <v/>
      </c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</row>
    <row r="197" spans="1:18" ht="12.75">
      <c r="A197" s="6" t="s">
        <v>89</v>
      </c>
      <c r="B197" s="6" t="s">
        <v>499</v>
      </c>
      <c r="C197" s="7" t="e">
        <f t="array" ref="C197">INDEX('Synergy import (8232022)'!A$1:L$229,MATCH(#REF!,'Synergy import (8232022)'!D$1:D$229,0),8)</f>
        <v>#REF!</v>
      </c>
      <c r="D197" s="7" t="e">
        <f t="array" ref="D197">INDEX('Synergy import (8232022)'!A$1:L$229,MATCH(#REF!,'Synergy import (8232022)'!D$1:D$229,0),7)</f>
        <v>#REF!</v>
      </c>
      <c r="E197" s="8"/>
      <c r="F197" s="9" t="str">
        <f t="array" ref="F197">IF(ISBLANK(G197),"",INDEX('SFSS import'!A$1:F$59,MATCH(G197,'SFSS import'!E$1:E$59,0),3))</f>
        <v/>
      </c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</row>
    <row r="198" spans="1:18" ht="12.75">
      <c r="A198" s="6" t="s">
        <v>52</v>
      </c>
      <c r="B198" s="6" t="s">
        <v>505</v>
      </c>
      <c r="C198" s="7" t="e">
        <f t="array" ref="C198">INDEX('Synergy import (8232022)'!A$1:L$229,MATCH(#REF!,'Synergy import (8232022)'!D$1:D$229,0),8)</f>
        <v>#REF!</v>
      </c>
      <c r="D198" s="7" t="e">
        <f t="array" ref="D198">INDEX('Synergy import (8232022)'!A$1:L$229,MATCH(#REF!,'Synergy import (8232022)'!D$1:D$229,0),7)</f>
        <v>#REF!</v>
      </c>
      <c r="E198" s="8"/>
      <c r="F198" s="9" t="str">
        <f t="array" ref="F198">IF(ISBLANK(G198),"",INDEX('SFSS import'!A$1:F$59,MATCH(G198,'SFSS import'!E$1:E$59,0),3))</f>
        <v/>
      </c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</row>
    <row r="199" spans="1:18" ht="12.75">
      <c r="A199" s="6" t="s">
        <v>89</v>
      </c>
      <c r="B199" s="6" t="s">
        <v>511</v>
      </c>
      <c r="C199" s="7" t="e">
        <f t="array" ref="C199">INDEX('Synergy import (8232022)'!A$1:L$229,MATCH(#REF!,'Synergy import (8232022)'!D$1:D$229,0),8)</f>
        <v>#REF!</v>
      </c>
      <c r="D199" s="7" t="e">
        <f t="array" ref="D199">INDEX('Synergy import (8232022)'!A$1:L$229,MATCH(#REF!,'Synergy import (8232022)'!D$1:D$229,0),7)</f>
        <v>#REF!</v>
      </c>
      <c r="E199" s="8"/>
      <c r="F199" s="9" t="str">
        <f t="array" ref="F199">IF(ISBLANK(G199),"",INDEX('SFSS import'!A$1:F$59,MATCH(G199,'SFSS import'!E$1:E$59,0),3))</f>
        <v/>
      </c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</row>
    <row r="200" spans="1:18" ht="12.75">
      <c r="A200" s="6" t="s">
        <v>65</v>
      </c>
      <c r="B200" s="6" t="s">
        <v>528</v>
      </c>
      <c r="C200" s="7" t="e">
        <f t="array" ref="C200">INDEX('Synergy import (8232022)'!A$1:L$229,MATCH(#REF!,'Synergy import (8232022)'!D$1:D$229,0),8)</f>
        <v>#REF!</v>
      </c>
      <c r="D200" s="7" t="e">
        <f t="array" ref="D200">INDEX('Synergy import (8232022)'!A$1:L$229,MATCH(#REF!,'Synergy import (8232022)'!D$1:D$229,0),7)</f>
        <v>#REF!</v>
      </c>
      <c r="E200" s="11"/>
      <c r="F200" s="9" t="str">
        <f t="array" ref="F200">IF(ISBLANK(G200),"",INDEX('SFSS import'!A$1:F$59,MATCH(G200,'SFSS import'!E$1:E$59,0),3))</f>
        <v/>
      </c>
      <c r="G200" s="11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</row>
    <row r="201" spans="1:18" ht="12.75">
      <c r="A201" s="6" t="s">
        <v>69</v>
      </c>
      <c r="B201" s="6" t="s">
        <v>531</v>
      </c>
      <c r="C201" s="7" t="e">
        <f t="array" ref="C201">INDEX('Synergy import (8232022)'!A$1:L$229,MATCH(#REF!,'Synergy import (8232022)'!D$1:D$229,0),8)</f>
        <v>#REF!</v>
      </c>
      <c r="D201" s="7" t="e">
        <f t="array" ref="D201">INDEX('Synergy import (8232022)'!A$1:L$229,MATCH(#REF!,'Synergy import (8232022)'!D$1:D$229,0),7)</f>
        <v>#REF!</v>
      </c>
      <c r="E201" s="8"/>
      <c r="F201" s="9" t="str">
        <f t="array" ref="F201">IF(ISBLANK(G201),"",INDEX('SFSS import'!A$1:F$59,MATCH(G201,'SFSS import'!E$1:E$59,0),3))</f>
        <v/>
      </c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</row>
    <row r="202" spans="1:18" ht="12.75">
      <c r="A202" s="6" t="s">
        <v>69</v>
      </c>
      <c r="B202" s="6" t="s">
        <v>532</v>
      </c>
      <c r="C202" s="7" t="e">
        <f t="array" ref="C202">INDEX('Synergy import (8232022)'!A$1:L$229,MATCH(#REF!,'Synergy import (8232022)'!D$1:D$229,0),8)</f>
        <v>#REF!</v>
      </c>
      <c r="D202" s="7" t="e">
        <f t="array" ref="D202">INDEX('Synergy import (8232022)'!A$1:L$229,MATCH(#REF!,'Synergy import (8232022)'!D$1:D$229,0),7)</f>
        <v>#REF!</v>
      </c>
      <c r="E202" s="8"/>
      <c r="F202" s="9" t="str">
        <f t="array" ref="F202">IF(ISBLANK(G202),"",INDEX('SFSS import'!A$1:F$59,MATCH(G202,'SFSS import'!E$1:E$59,0),3))</f>
        <v/>
      </c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</row>
    <row r="203" spans="1:18" ht="12.75">
      <c r="A203" s="6" t="s">
        <v>284</v>
      </c>
      <c r="B203" s="6" t="s">
        <v>542</v>
      </c>
      <c r="C203" s="7" t="e">
        <f t="array" ref="C203">INDEX('Synergy import (8232022)'!A$1:L$229,MATCH(#REF!,'Synergy import (8232022)'!D$1:D$229,0),8)</f>
        <v>#REF!</v>
      </c>
      <c r="D203" s="7" t="e">
        <f t="array" ref="D203">INDEX('Synergy import (8232022)'!A$1:L$229,MATCH(#REF!,'Synergy import (8232022)'!D$1:D$229,0),7)</f>
        <v>#REF!</v>
      </c>
      <c r="E203" s="8"/>
      <c r="F203" s="9" t="str">
        <f t="array" ref="F203">IF(ISBLANK(G203),"",INDEX('SFSS import'!A$1:F$59,MATCH(G203,'SFSS import'!E$1:E$59,0),3))</f>
        <v/>
      </c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</row>
    <row r="204" spans="1:18" ht="12.75">
      <c r="A204" s="6" t="s">
        <v>148</v>
      </c>
      <c r="B204" s="6" t="s">
        <v>544</v>
      </c>
      <c r="C204" s="7" t="e">
        <f t="array" ref="C204">INDEX('Synergy import (8232022)'!A$1:L$229,MATCH(#REF!,'Synergy import (8232022)'!D$1:D$229,0),8)</f>
        <v>#REF!</v>
      </c>
      <c r="D204" s="7" t="e">
        <f t="array" ref="D204">INDEX('Synergy import (8232022)'!A$1:L$229,MATCH(#REF!,'Synergy import (8232022)'!D$1:D$229,0),7)</f>
        <v>#REF!</v>
      </c>
      <c r="E204" s="11"/>
      <c r="F204" s="9" t="str">
        <f t="array" ref="F204">IF(ISBLANK(G204),"",INDEX('SFSS import'!A$1:F$59,MATCH(G204,'SFSS import'!E$1:E$59,0),3))</f>
        <v/>
      </c>
      <c r="G204" s="11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</row>
    <row r="205" spans="1:18" ht="12.75">
      <c r="A205" s="6" t="s">
        <v>74</v>
      </c>
      <c r="B205" s="6" t="s">
        <v>545</v>
      </c>
      <c r="C205" s="7" t="e">
        <f t="array" ref="C205">INDEX('Synergy import (8232022)'!A$1:L$229,MATCH(#REF!,'Synergy import (8232022)'!D$1:D$229,0),8)</f>
        <v>#REF!</v>
      </c>
      <c r="D205" s="7" t="e">
        <f t="array" ref="D205">INDEX('Synergy import (8232022)'!A$1:L$229,MATCH(#REF!,'Synergy import (8232022)'!D$1:D$229,0),7)</f>
        <v>#REF!</v>
      </c>
      <c r="E205" s="11"/>
      <c r="F205" s="9" t="str">
        <f t="array" ref="F205">IF(ISBLANK(G205),"",INDEX('SFSS import'!A$1:F$59,MATCH(G205,'SFSS import'!E$1:E$59,0),3))</f>
        <v/>
      </c>
      <c r="G205" s="11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</row>
    <row r="206" spans="1:18" ht="12.75">
      <c r="A206" s="6" t="s">
        <v>89</v>
      </c>
      <c r="B206" s="6" t="s">
        <v>555</v>
      </c>
      <c r="C206" s="7" t="e">
        <f t="array" ref="C206">INDEX('Synergy import (8232022)'!A$1:L$229,MATCH(#REF!,'Synergy import (8232022)'!D$1:D$229,0),8)</f>
        <v>#REF!</v>
      </c>
      <c r="D206" s="7" t="e">
        <f t="array" ref="D206">INDEX('Synergy import (8232022)'!A$1:L$229,MATCH(#REF!,'Synergy import (8232022)'!D$1:D$229,0),7)</f>
        <v>#REF!</v>
      </c>
      <c r="E206" s="8"/>
      <c r="F206" s="9" t="str">
        <f t="array" ref="F206">IF(ISBLANK(G206),"",INDEX('SFSS import'!A$1:F$59,MATCH(G206,'SFSS import'!E$1:E$59,0),3))</f>
        <v/>
      </c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</row>
    <row r="207" spans="1:18" ht="12.75">
      <c r="A207" s="6" t="s">
        <v>211</v>
      </c>
      <c r="B207" s="6" t="s">
        <v>556</v>
      </c>
      <c r="C207" s="7" t="e">
        <f t="array" ref="C207">INDEX('Synergy import (8232022)'!A$1:L$229,MATCH(#REF!,'Synergy import (8232022)'!D$1:D$229,0),8)</f>
        <v>#REF!</v>
      </c>
      <c r="D207" s="7" t="e">
        <f t="array" ref="D207">INDEX('Synergy import (8232022)'!A$1:L$229,MATCH(#REF!,'Synergy import (8232022)'!D$1:D$229,0),7)</f>
        <v>#REF!</v>
      </c>
      <c r="E207" s="8"/>
      <c r="F207" s="9" t="str">
        <f t="array" ref="F207">IF(ISBLANK(G207),"",INDEX('SFSS import'!A$1:F$59,MATCH(G207,'SFSS import'!E$1:E$59,0),3))</f>
        <v/>
      </c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</row>
    <row r="208" spans="1:18" ht="12.75">
      <c r="A208" s="6" t="s">
        <v>25</v>
      </c>
      <c r="B208" s="6" t="s">
        <v>571</v>
      </c>
      <c r="C208" s="7" t="e">
        <f t="array" ref="C208">INDEX('Synergy import (8232022)'!A$1:L$229,MATCH(#REF!,'Synergy import (8232022)'!D$1:D$229,0),8)</f>
        <v>#REF!</v>
      </c>
      <c r="D208" s="7" t="e">
        <f t="array" ref="D208">INDEX('Synergy import (8232022)'!A$1:L$229,MATCH(#REF!,'Synergy import (8232022)'!D$1:D$229,0),7)</f>
        <v>#REF!</v>
      </c>
      <c r="E208" s="8"/>
      <c r="F208" s="9" t="str">
        <f t="array" ref="F208">IF(ISBLANK(G208),"",INDEX('SFSS import'!A$1:F$59,MATCH(G208,'SFSS import'!E$1:E$59,0),3))</f>
        <v/>
      </c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</row>
    <row r="209" spans="1:18" ht="12.75">
      <c r="A209" s="6" t="s">
        <v>211</v>
      </c>
      <c r="B209" s="6" t="s">
        <v>572</v>
      </c>
      <c r="C209" s="7" t="e">
        <f t="array" ref="C209">INDEX('Synergy import (8232022)'!A$1:L$229,MATCH(#REF!,'Synergy import (8232022)'!D$1:D$229,0),8)</f>
        <v>#REF!</v>
      </c>
      <c r="D209" s="7" t="e">
        <f t="array" ref="D209">INDEX('Synergy import (8232022)'!A$1:L$229,MATCH(#REF!,'Synergy import (8232022)'!D$1:D$229,0),7)</f>
        <v>#REF!</v>
      </c>
      <c r="E209" s="8"/>
      <c r="F209" s="9" t="str">
        <f t="array" ref="F209">IF(ISBLANK(G209),"",INDEX('SFSS import'!A$1:F$59,MATCH(G209,'SFSS import'!E$1:E$59,0),3))</f>
        <v/>
      </c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</row>
    <row r="210" spans="1:18" ht="12.75">
      <c r="A210" s="6" t="s">
        <v>65</v>
      </c>
      <c r="B210" s="6" t="s">
        <v>589</v>
      </c>
      <c r="C210" s="7" t="e">
        <f t="array" ref="C210">INDEX('Synergy import (8232022)'!A$1:L$229,MATCH(#REF!,'Synergy import (8232022)'!D$1:D$229,0),8)</f>
        <v>#REF!</v>
      </c>
      <c r="D210" s="7" t="e">
        <f t="array" ref="D210">INDEX('Synergy import (8232022)'!A$1:L$229,MATCH(#REF!,'Synergy import (8232022)'!D$1:D$229,0),7)</f>
        <v>#REF!</v>
      </c>
      <c r="E210" s="8"/>
      <c r="F210" s="9" t="str">
        <f t="array" ref="F210">IF(ISBLANK(G210),"",INDEX('SFSS import'!A$1:F$59,MATCH(G210,'SFSS import'!E$1:E$59,0),3))</f>
        <v/>
      </c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</row>
    <row r="211" spans="1:18" ht="12.75">
      <c r="A211" s="6" t="s">
        <v>74</v>
      </c>
      <c r="B211" s="6" t="s">
        <v>593</v>
      </c>
      <c r="C211" s="7" t="e">
        <f t="array" ref="C211">INDEX('Synergy import (8232022)'!A$1:L$229,MATCH(#REF!,'Synergy import (8232022)'!D$1:D$229,0),8)</f>
        <v>#REF!</v>
      </c>
      <c r="D211" s="7" t="e">
        <f t="array" ref="D211">INDEX('Synergy import (8232022)'!A$1:L$229,MATCH(#REF!,'Synergy import (8232022)'!D$1:D$229,0),7)</f>
        <v>#REF!</v>
      </c>
      <c r="E211" s="11"/>
      <c r="F211" s="9" t="str">
        <f t="array" ref="F211">IF(ISBLANK(G211),"",INDEX('SFSS import'!A$1:F$59,MATCH(G211,'SFSS import'!E$1:E$59,0),3))</f>
        <v/>
      </c>
      <c r="G211" s="11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</row>
    <row r="212" spans="1:18" ht="12.75">
      <c r="A212" s="6" t="s">
        <v>74</v>
      </c>
      <c r="B212" s="6" t="s">
        <v>594</v>
      </c>
      <c r="C212" s="7" t="e">
        <f t="array" ref="C212">INDEX('Synergy import (8232022)'!A$1:L$229,MATCH(#REF!,'Synergy import (8232022)'!D$1:D$229,0),8)</f>
        <v>#REF!</v>
      </c>
      <c r="D212" s="7" t="e">
        <f t="array" ref="D212">INDEX('Synergy import (8232022)'!A$1:L$229,MATCH(#REF!,'Synergy import (8232022)'!D$1:D$229,0),7)</f>
        <v>#REF!</v>
      </c>
      <c r="E212" s="11"/>
      <c r="F212" s="9" t="str">
        <f t="array" ref="F212">IF(ISBLANK(G212),"",INDEX('SFSS import'!A$1:F$59,MATCH(G212,'SFSS import'!E$1:E$59,0),3))</f>
        <v/>
      </c>
      <c r="G212" s="11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</row>
    <row r="213" spans="1:18" ht="12.75">
      <c r="A213" s="6" t="s">
        <v>41</v>
      </c>
      <c r="B213" s="6" t="s">
        <v>609</v>
      </c>
      <c r="C213" s="7" t="e">
        <f t="array" ref="C213">INDEX('Synergy import (8232022)'!A$1:L$229,MATCH(#REF!,'Synergy import (8232022)'!D$1:D$229,0),8)</f>
        <v>#REF!</v>
      </c>
      <c r="D213" s="7" t="e">
        <f t="array" ref="D213">INDEX('Synergy import (8232022)'!A$1:L$229,MATCH(#REF!,'Synergy import (8232022)'!D$1:D$229,0),7)</f>
        <v>#REF!</v>
      </c>
      <c r="E213" s="11"/>
      <c r="F213" s="9" t="str">
        <f t="array" ref="F213">IF(ISBLANK(G213),"",INDEX('SFSS import'!A$1:F$59,MATCH(G213,'SFSS import'!E$1:E$59,0),3))</f>
        <v/>
      </c>
      <c r="G213" s="11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</row>
    <row r="214" spans="1:18" ht="12.75">
      <c r="A214" s="6" t="s">
        <v>148</v>
      </c>
      <c r="B214" s="6" t="s">
        <v>612</v>
      </c>
      <c r="C214" s="7" t="e">
        <f t="array" ref="C214">INDEX('Synergy import (8232022)'!A$1:L$229,MATCH(#REF!,'Synergy import (8232022)'!D$1:D$229,0),8)</f>
        <v>#REF!</v>
      </c>
      <c r="D214" s="7" t="e">
        <f t="array" ref="D214">INDEX('Synergy import (8232022)'!A$1:L$229,MATCH(#REF!,'Synergy import (8232022)'!D$1:D$229,0),7)</f>
        <v>#REF!</v>
      </c>
      <c r="E214" s="8"/>
      <c r="F214" s="9" t="str">
        <f t="array" ref="F214">IF(ISBLANK(G214),"",INDEX('SFSS import'!A$1:F$59,MATCH(G214,'SFSS import'!E$1:E$59,0),3))</f>
        <v/>
      </c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</row>
    <row r="215" spans="1:18" ht="12.75">
      <c r="A215" s="6" t="s">
        <v>41</v>
      </c>
      <c r="B215" s="6" t="s">
        <v>615</v>
      </c>
      <c r="C215" s="7" t="e">
        <f t="array" ref="C215">INDEX('Synergy import (8232022)'!A$1:L$229,MATCH(#REF!,'Synergy import (8232022)'!D$1:D$229,0),8)</f>
        <v>#REF!</v>
      </c>
      <c r="D215" s="7" t="e">
        <f t="array" ref="D215">INDEX('Synergy import (8232022)'!A$1:L$229,MATCH(#REF!,'Synergy import (8232022)'!D$1:D$229,0),7)</f>
        <v>#REF!</v>
      </c>
      <c r="E215" s="11"/>
      <c r="F215" s="9" t="str">
        <f t="array" ref="F215">IF(ISBLANK(G215),"",INDEX('SFSS import'!A$1:F$59,MATCH(G215,'SFSS import'!E$1:E$59,0),3))</f>
        <v/>
      </c>
      <c r="G215" s="11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</row>
    <row r="216" spans="1:18" ht="12.75">
      <c r="A216" s="6" t="s">
        <v>29</v>
      </c>
      <c r="B216" s="6" t="s">
        <v>617</v>
      </c>
      <c r="C216" s="7" t="e">
        <f t="array" ref="C216">INDEX('Synergy import (8232022)'!A$1:L$229,MATCH(#REF!,'Synergy import (8232022)'!D$1:D$229,0),8)</f>
        <v>#REF!</v>
      </c>
      <c r="D216" s="7" t="e">
        <f t="array" ref="D216">INDEX('Synergy import (8232022)'!A$1:L$229,MATCH(#REF!,'Synergy import (8232022)'!D$1:D$229,0),7)</f>
        <v>#REF!</v>
      </c>
      <c r="E216" s="8"/>
      <c r="F216" s="9" t="str">
        <f t="array" ref="F216">IF(ISBLANK(G216),"",INDEX('SFSS import'!A$1:F$59,MATCH(G216,'SFSS import'!E$1:E$59,0),3))</f>
        <v/>
      </c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</row>
    <row r="217" spans="1:18" ht="12.75">
      <c r="A217" s="6" t="s">
        <v>211</v>
      </c>
      <c r="B217" s="6" t="s">
        <v>620</v>
      </c>
      <c r="C217" s="7" t="e">
        <f t="array" ref="C217">INDEX('Synergy import (8232022)'!A$1:L$229,MATCH(#REF!,'Synergy import (8232022)'!D$1:D$229,0),8)</f>
        <v>#REF!</v>
      </c>
      <c r="D217" s="7" t="e">
        <f t="array" ref="D217">INDEX('Synergy import (8232022)'!A$1:L$229,MATCH(#REF!,'Synergy import (8232022)'!D$1:D$229,0),7)</f>
        <v>#REF!</v>
      </c>
      <c r="E217" s="21"/>
      <c r="F217" s="13" t="str">
        <f t="array" ref="F217">IF(ISBLANK(G217),"",INDEX('SFSS import'!A$1:F$59,MATCH(G217,'SFSS import'!E$1:E$59,0),3))</f>
        <v/>
      </c>
      <c r="G217" s="21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</row>
    <row r="218" spans="1:18" ht="12.75">
      <c r="A218" s="6" t="s">
        <v>25</v>
      </c>
      <c r="B218" s="6" t="s">
        <v>622</v>
      </c>
      <c r="C218" s="7" t="e">
        <f t="array" ref="C218">INDEX('Synergy import (8232022)'!A$1:L$229,MATCH(#REF!,'Synergy import (8232022)'!D$1:D$229,0),8)</f>
        <v>#REF!</v>
      </c>
      <c r="D218" s="7" t="e">
        <f t="array" ref="D218">INDEX('Synergy import (8232022)'!A$1:L$229,MATCH(#REF!,'Synergy import (8232022)'!D$1:D$229,0),7)</f>
        <v>#REF!</v>
      </c>
      <c r="E218" s="23"/>
      <c r="F218" s="13" t="str">
        <f t="array" ref="F218">IF(ISBLANK(G218),"",INDEX('SFSS import'!A$1:F$59,MATCH(G218,'SFSS import'!E$1:E$59,0),3))</f>
        <v/>
      </c>
      <c r="G218" s="2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</row>
    <row r="219" spans="1:18" ht="12.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</row>
    <row r="220" spans="1:18" ht="12.75">
      <c r="A220" s="5"/>
      <c r="B220" s="5"/>
      <c r="C220" s="14"/>
      <c r="D220" s="14"/>
      <c r="E220" s="14"/>
      <c r="F220" s="14"/>
      <c r="G220" s="1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</row>
    <row r="221" spans="1:18" ht="12.75">
      <c r="A221" s="5"/>
      <c r="B221" s="5"/>
      <c r="C221" s="14"/>
      <c r="D221" s="14"/>
      <c r="E221" s="14"/>
      <c r="F221" s="14"/>
      <c r="G221" s="1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</row>
    <row r="222" spans="1:18" ht="12.75">
      <c r="A222" s="5"/>
      <c r="B222" s="5"/>
      <c r="C222" s="14"/>
      <c r="D222" s="14"/>
      <c r="E222" s="14"/>
      <c r="F222" s="14"/>
      <c r="G222" s="1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</row>
    <row r="223" spans="1:18" ht="12.75">
      <c r="A223" s="5"/>
      <c r="B223" s="5"/>
      <c r="C223" s="14"/>
      <c r="D223" s="14"/>
      <c r="E223" s="14"/>
      <c r="F223" s="14"/>
      <c r="G223" s="1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 ht="12.75">
      <c r="A224" s="5"/>
      <c r="B224" s="5"/>
      <c r="C224" s="14"/>
      <c r="D224" s="14"/>
      <c r="E224" s="14"/>
      <c r="F224" s="14"/>
      <c r="G224" s="1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</row>
    <row r="225" spans="1:18" ht="12.75">
      <c r="A225" s="5"/>
      <c r="B225" s="5"/>
      <c r="C225" s="14"/>
      <c r="D225" s="14"/>
      <c r="E225" s="14"/>
      <c r="F225" s="14"/>
      <c r="G225" s="1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</row>
    <row r="226" spans="1:18" ht="12.75">
      <c r="A226" s="5"/>
      <c r="B226" s="5"/>
      <c r="C226" s="14"/>
      <c r="D226" s="14"/>
      <c r="E226" s="14"/>
      <c r="F226" s="14"/>
      <c r="G226" s="1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</row>
    <row r="227" spans="1:18" ht="12.75">
      <c r="A227" s="5"/>
      <c r="B227" s="5"/>
      <c r="C227" s="14"/>
      <c r="D227" s="14"/>
      <c r="E227" s="14"/>
      <c r="F227" s="14"/>
      <c r="G227" s="1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</row>
    <row r="228" spans="1:18" ht="12.75">
      <c r="A228" s="5"/>
      <c r="B228" s="5"/>
      <c r="C228" s="14"/>
      <c r="D228" s="14"/>
      <c r="E228" s="14"/>
      <c r="F228" s="14"/>
      <c r="G228" s="1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</row>
    <row r="229" spans="1:18" ht="12.75">
      <c r="A229" s="5"/>
      <c r="B229" s="5"/>
      <c r="C229" s="14"/>
      <c r="D229" s="14"/>
      <c r="E229" s="14"/>
      <c r="F229" s="14"/>
      <c r="G229" s="1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</row>
    <row r="230" spans="1:18" ht="12.75">
      <c r="A230" s="5"/>
      <c r="B230" s="5"/>
      <c r="C230" s="14"/>
      <c r="D230" s="14"/>
      <c r="E230" s="14"/>
      <c r="F230" s="14"/>
      <c r="G230" s="1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</row>
    <row r="231" spans="1:18" ht="12.75">
      <c r="A231" s="5"/>
      <c r="B231" s="5"/>
      <c r="C231" s="14"/>
      <c r="D231" s="14"/>
      <c r="E231" s="14"/>
      <c r="F231" s="14"/>
      <c r="G231" s="1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</row>
    <row r="232" spans="1:18" ht="12.75">
      <c r="A232" s="5"/>
      <c r="B232" s="5"/>
      <c r="C232" s="14"/>
      <c r="D232" s="14"/>
      <c r="E232" s="14"/>
      <c r="F232" s="14"/>
      <c r="G232" s="1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</row>
    <row r="233" spans="1:18" ht="12.75">
      <c r="A233" s="5"/>
      <c r="B233" s="5"/>
      <c r="C233" s="14"/>
      <c r="D233" s="14"/>
      <c r="E233" s="14"/>
      <c r="F233" s="14"/>
      <c r="G233" s="1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</row>
    <row r="234" spans="1:18" ht="12.75">
      <c r="A234" s="5"/>
      <c r="B234" s="5"/>
      <c r="C234" s="14"/>
      <c r="D234" s="14"/>
      <c r="E234" s="14"/>
      <c r="F234" s="14"/>
      <c r="G234" s="1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</row>
    <row r="235" spans="1:18" ht="12.75">
      <c r="A235" s="5"/>
      <c r="B235" s="5"/>
      <c r="C235" s="14"/>
      <c r="D235" s="14"/>
      <c r="E235" s="14"/>
      <c r="F235" s="14"/>
      <c r="G235" s="1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</row>
    <row r="236" spans="1:18" ht="12.75">
      <c r="A236" s="5"/>
      <c r="B236" s="5"/>
      <c r="C236" s="14"/>
      <c r="D236" s="14"/>
      <c r="E236" s="14"/>
      <c r="F236" s="14"/>
      <c r="G236" s="1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</row>
    <row r="237" spans="1:18" ht="12.75">
      <c r="A237" s="5"/>
      <c r="B237" s="5"/>
      <c r="C237" s="14"/>
      <c r="D237" s="14"/>
      <c r="E237" s="14"/>
      <c r="F237" s="14"/>
      <c r="G237" s="1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</row>
    <row r="238" spans="1:18" ht="12.75">
      <c r="A238" s="5"/>
      <c r="B238" s="5"/>
      <c r="C238" s="14"/>
      <c r="D238" s="14"/>
      <c r="E238" s="14"/>
      <c r="F238" s="14"/>
      <c r="G238" s="1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 ht="12.75">
      <c r="A239" s="5"/>
      <c r="B239" s="5"/>
      <c r="C239" s="14"/>
      <c r="D239" s="14"/>
      <c r="E239" s="14"/>
      <c r="F239" s="14"/>
      <c r="G239" s="1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</row>
    <row r="240" spans="1:18" ht="12.75">
      <c r="A240" s="5"/>
      <c r="B240" s="5"/>
      <c r="C240" s="14"/>
      <c r="D240" s="14"/>
      <c r="E240" s="14"/>
      <c r="F240" s="14"/>
      <c r="G240" s="1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</row>
    <row r="241" spans="1:18" ht="12.75">
      <c r="A241" s="5"/>
      <c r="B241" s="5"/>
      <c r="C241" s="14"/>
      <c r="D241" s="14"/>
      <c r="E241" s="14"/>
      <c r="F241" s="14"/>
      <c r="G241" s="1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</row>
    <row r="242" spans="1:18" ht="12.75">
      <c r="A242" s="5"/>
      <c r="B242" s="5"/>
      <c r="C242" s="14"/>
      <c r="D242" s="14"/>
      <c r="E242" s="14"/>
      <c r="F242" s="14"/>
      <c r="G242" s="1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</row>
    <row r="243" spans="1:18" ht="12.75">
      <c r="A243" s="5"/>
      <c r="B243" s="5"/>
      <c r="C243" s="14"/>
      <c r="D243" s="14"/>
      <c r="E243" s="14"/>
      <c r="F243" s="14"/>
      <c r="G243" s="1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</row>
    <row r="244" spans="1:18" ht="12.75">
      <c r="A244" s="5"/>
      <c r="B244" s="5"/>
      <c r="C244" s="14"/>
      <c r="D244" s="14"/>
      <c r="E244" s="14"/>
      <c r="F244" s="14"/>
      <c r="G244" s="1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</row>
    <row r="245" spans="1:18" ht="12.75">
      <c r="A245" s="5"/>
      <c r="B245" s="5"/>
      <c r="C245" s="14"/>
      <c r="D245" s="14"/>
      <c r="E245" s="14"/>
      <c r="F245" s="14"/>
      <c r="G245" s="1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</row>
    <row r="246" spans="1:18" ht="12.75">
      <c r="A246" s="5"/>
      <c r="B246" s="5"/>
      <c r="C246" s="14"/>
      <c r="D246" s="14"/>
      <c r="E246" s="14"/>
      <c r="F246" s="14"/>
      <c r="G246" s="1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</row>
    <row r="247" spans="1:18" ht="12.75">
      <c r="A247" s="5"/>
      <c r="B247" s="5"/>
      <c r="C247" s="14"/>
      <c r="D247" s="14"/>
      <c r="E247" s="14"/>
      <c r="F247" s="14"/>
      <c r="G247" s="1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</row>
    <row r="248" spans="1:18" ht="12.75">
      <c r="A248" s="5"/>
      <c r="B248" s="5"/>
      <c r="C248" s="14"/>
      <c r="D248" s="14"/>
      <c r="E248" s="14"/>
      <c r="F248" s="14"/>
      <c r="G248" s="1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</row>
    <row r="249" spans="1:18" ht="12.75">
      <c r="A249" s="5"/>
      <c r="B249" s="5"/>
      <c r="C249" s="14"/>
      <c r="D249" s="14"/>
      <c r="E249" s="14"/>
      <c r="F249" s="14"/>
      <c r="G249" s="1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</row>
    <row r="250" spans="1:18" ht="12.75">
      <c r="A250" s="5"/>
      <c r="B250" s="5"/>
      <c r="C250" s="14"/>
      <c r="D250" s="14"/>
      <c r="E250" s="14"/>
      <c r="F250" s="14"/>
      <c r="G250" s="1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</row>
    <row r="251" spans="1:18" ht="12.75">
      <c r="A251" s="5"/>
      <c r="B251" s="5"/>
      <c r="C251" s="14"/>
      <c r="D251" s="14"/>
      <c r="E251" s="14"/>
      <c r="F251" s="14"/>
      <c r="G251" s="1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</row>
    <row r="252" spans="1:18" ht="12.75">
      <c r="A252" s="5"/>
      <c r="B252" s="5"/>
      <c r="C252" s="14"/>
      <c r="D252" s="14"/>
      <c r="E252" s="14"/>
      <c r="F252" s="14"/>
      <c r="G252" s="1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</row>
    <row r="253" spans="1:18" ht="12.75">
      <c r="A253" s="5"/>
      <c r="B253" s="5"/>
      <c r="C253" s="14"/>
      <c r="D253" s="14"/>
      <c r="E253" s="14"/>
      <c r="F253" s="14"/>
      <c r="G253" s="1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1:18" ht="12.75">
      <c r="A254" s="5"/>
      <c r="B254" s="5"/>
      <c r="C254" s="14"/>
      <c r="D254" s="14"/>
      <c r="E254" s="14"/>
      <c r="F254" s="14"/>
      <c r="G254" s="1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</row>
    <row r="255" spans="1:18" ht="12.75">
      <c r="A255" s="5"/>
      <c r="B255" s="5"/>
      <c r="C255" s="14"/>
      <c r="D255" s="14"/>
      <c r="E255" s="14"/>
      <c r="F255" s="14"/>
      <c r="G255" s="1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</row>
    <row r="256" spans="1:18" ht="12.75">
      <c r="A256" s="5"/>
      <c r="B256" s="5"/>
      <c r="C256" s="14"/>
      <c r="D256" s="14"/>
      <c r="E256" s="14"/>
      <c r="F256" s="14"/>
      <c r="G256" s="1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</row>
    <row r="257" spans="1:18" ht="12.75">
      <c r="A257" s="5"/>
      <c r="B257" s="5"/>
      <c r="C257" s="14"/>
      <c r="D257" s="14"/>
      <c r="E257" s="14"/>
      <c r="F257" s="14"/>
      <c r="G257" s="1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</row>
    <row r="258" spans="1:18" ht="12.75">
      <c r="A258" s="5"/>
      <c r="B258" s="5"/>
      <c r="C258" s="14"/>
      <c r="D258" s="14"/>
      <c r="E258" s="14"/>
      <c r="F258" s="14"/>
      <c r="G258" s="1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</row>
    <row r="259" spans="1:18" ht="12.75">
      <c r="A259" s="5"/>
      <c r="B259" s="5"/>
      <c r="C259" s="14"/>
      <c r="D259" s="14"/>
      <c r="E259" s="14"/>
      <c r="F259" s="14"/>
      <c r="G259" s="1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</row>
    <row r="260" spans="1:18" ht="12.75">
      <c r="A260" s="5"/>
      <c r="B260" s="5"/>
      <c r="C260" s="14"/>
      <c r="D260" s="14"/>
      <c r="E260" s="14"/>
      <c r="F260" s="14"/>
      <c r="G260" s="1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</row>
    <row r="261" spans="1:18" ht="12.75">
      <c r="A261" s="5"/>
      <c r="B261" s="5"/>
      <c r="C261" s="14"/>
      <c r="D261" s="14"/>
      <c r="E261" s="14"/>
      <c r="F261" s="14"/>
      <c r="G261" s="1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</row>
    <row r="262" spans="1:18" ht="12.75">
      <c r="A262" s="5"/>
      <c r="B262" s="5"/>
      <c r="C262" s="14"/>
      <c r="D262" s="14"/>
      <c r="E262" s="14"/>
      <c r="F262" s="14"/>
      <c r="G262" s="1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</row>
    <row r="263" spans="1:18" ht="12.75">
      <c r="A263" s="5"/>
      <c r="B263" s="5"/>
      <c r="C263" s="14"/>
      <c r="D263" s="14"/>
      <c r="E263" s="14"/>
      <c r="F263" s="14"/>
      <c r="G263" s="1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</row>
    <row r="264" spans="1:18" ht="12.75">
      <c r="A264" s="5"/>
      <c r="B264" s="5"/>
      <c r="C264" s="14"/>
      <c r="D264" s="14"/>
      <c r="E264" s="14"/>
      <c r="F264" s="14"/>
      <c r="G264" s="1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</row>
    <row r="265" spans="1:18" ht="12.75">
      <c r="A265" s="5"/>
      <c r="B265" s="5"/>
      <c r="C265" s="14"/>
      <c r="D265" s="14"/>
      <c r="E265" s="14"/>
      <c r="F265" s="14"/>
      <c r="G265" s="1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</row>
    <row r="266" spans="1:18" ht="12.75">
      <c r="A266" s="5"/>
      <c r="B266" s="5"/>
      <c r="C266" s="14"/>
      <c r="D266" s="14"/>
      <c r="E266" s="14"/>
      <c r="F266" s="14"/>
      <c r="G266" s="1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</row>
    <row r="267" spans="1:18" ht="12.75">
      <c r="A267" s="5"/>
      <c r="B267" s="5"/>
      <c r="C267" s="14"/>
      <c r="D267" s="14"/>
      <c r="E267" s="14"/>
      <c r="F267" s="14"/>
      <c r="G267" s="1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</row>
    <row r="268" spans="1:18" ht="12.75">
      <c r="A268" s="5"/>
      <c r="B268" s="5"/>
      <c r="C268" s="14"/>
      <c r="D268" s="14"/>
      <c r="E268" s="14"/>
      <c r="F268" s="14"/>
      <c r="G268" s="1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</row>
    <row r="269" spans="1:18" ht="12.75">
      <c r="A269" s="5"/>
      <c r="B269" s="5"/>
      <c r="C269" s="14"/>
      <c r="D269" s="14"/>
      <c r="E269" s="14"/>
      <c r="F269" s="14"/>
      <c r="G269" s="1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1:18" ht="12.75">
      <c r="A270" s="5"/>
      <c r="B270" s="5"/>
      <c r="C270" s="14"/>
      <c r="D270" s="14"/>
      <c r="E270" s="14"/>
      <c r="F270" s="14"/>
      <c r="G270" s="1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</row>
    <row r="271" spans="1:18" ht="12.75">
      <c r="A271" s="5"/>
      <c r="B271" s="5"/>
      <c r="C271" s="14"/>
      <c r="D271" s="14"/>
      <c r="E271" s="14"/>
      <c r="F271" s="14"/>
      <c r="G271" s="1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</row>
    <row r="272" spans="1:18" ht="12.75">
      <c r="A272" s="5"/>
      <c r="B272" s="5"/>
      <c r="C272" s="14"/>
      <c r="D272" s="14"/>
      <c r="E272" s="14"/>
      <c r="F272" s="14"/>
      <c r="G272" s="1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</row>
    <row r="273" spans="1:18" ht="12.75">
      <c r="A273" s="5"/>
      <c r="B273" s="5"/>
      <c r="C273" s="14"/>
      <c r="D273" s="14"/>
      <c r="E273" s="14"/>
      <c r="F273" s="14"/>
      <c r="G273" s="1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</row>
    <row r="274" spans="1:18" ht="12.75">
      <c r="A274" s="5"/>
      <c r="B274" s="5"/>
      <c r="C274" s="14"/>
      <c r="D274" s="14"/>
      <c r="E274" s="14"/>
      <c r="F274" s="14"/>
      <c r="G274" s="1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</row>
    <row r="275" spans="1:18" ht="12.75">
      <c r="A275" s="5"/>
      <c r="B275" s="5"/>
      <c r="C275" s="14"/>
      <c r="D275" s="14"/>
      <c r="E275" s="14"/>
      <c r="F275" s="14"/>
      <c r="G275" s="1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</row>
    <row r="276" spans="1:18" ht="12.75">
      <c r="A276" s="5"/>
      <c r="B276" s="5"/>
      <c r="C276" s="14"/>
      <c r="D276" s="14"/>
      <c r="E276" s="14"/>
      <c r="F276" s="14"/>
      <c r="G276" s="1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</row>
    <row r="277" spans="1:18" ht="12.75">
      <c r="A277" s="5"/>
      <c r="B277" s="5"/>
      <c r="C277" s="14"/>
      <c r="D277" s="14"/>
      <c r="E277" s="14"/>
      <c r="F277" s="14"/>
      <c r="G277" s="1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</row>
    <row r="278" spans="1:18" ht="12.75">
      <c r="A278" s="5"/>
      <c r="B278" s="5"/>
      <c r="C278" s="14"/>
      <c r="D278" s="14"/>
      <c r="E278" s="14"/>
      <c r="F278" s="14"/>
      <c r="G278" s="1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</row>
    <row r="279" spans="1:18" ht="12.75">
      <c r="A279" s="5"/>
      <c r="B279" s="5"/>
      <c r="C279" s="14"/>
      <c r="D279" s="14"/>
      <c r="E279" s="14"/>
      <c r="F279" s="14"/>
      <c r="G279" s="1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</row>
    <row r="280" spans="1:18" ht="12.75">
      <c r="A280" s="5"/>
      <c r="B280" s="5"/>
      <c r="C280" s="14"/>
      <c r="D280" s="14"/>
      <c r="E280" s="14"/>
      <c r="F280" s="14"/>
      <c r="G280" s="1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</row>
    <row r="281" spans="1:18" ht="12.75">
      <c r="A281" s="5"/>
      <c r="B281" s="5"/>
      <c r="C281" s="14"/>
      <c r="D281" s="14"/>
      <c r="E281" s="14"/>
      <c r="F281" s="14"/>
      <c r="G281" s="1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</row>
    <row r="282" spans="1:18" ht="12.75">
      <c r="A282" s="5"/>
      <c r="B282" s="5"/>
      <c r="C282" s="14"/>
      <c r="D282" s="14"/>
      <c r="E282" s="14"/>
      <c r="F282" s="14"/>
      <c r="G282" s="1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</row>
    <row r="283" spans="1:18" ht="12.75">
      <c r="A283" s="5"/>
      <c r="B283" s="5"/>
      <c r="C283" s="14"/>
      <c r="D283" s="14"/>
      <c r="E283" s="14"/>
      <c r="F283" s="14"/>
      <c r="G283" s="1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</row>
    <row r="284" spans="1:18" ht="12.75">
      <c r="A284" s="5"/>
      <c r="B284" s="5"/>
      <c r="C284" s="14"/>
      <c r="D284" s="14"/>
      <c r="E284" s="14"/>
      <c r="F284" s="14"/>
      <c r="G284" s="1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1:18" ht="12.75">
      <c r="A285" s="5"/>
      <c r="B285" s="5"/>
      <c r="C285" s="14"/>
      <c r="D285" s="14"/>
      <c r="E285" s="14"/>
      <c r="F285" s="14"/>
      <c r="G285" s="1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</row>
    <row r="286" spans="1:18" ht="12.75">
      <c r="A286" s="5"/>
      <c r="B286" s="5"/>
      <c r="C286" s="14"/>
      <c r="D286" s="14"/>
      <c r="E286" s="14"/>
      <c r="F286" s="14"/>
      <c r="G286" s="1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</row>
    <row r="287" spans="1:18" ht="12.75">
      <c r="A287" s="5"/>
      <c r="B287" s="5"/>
      <c r="C287" s="14"/>
      <c r="D287" s="14"/>
      <c r="E287" s="14"/>
      <c r="F287" s="14"/>
      <c r="G287" s="1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</row>
    <row r="288" spans="1:18" ht="12.75">
      <c r="A288" s="5"/>
      <c r="B288" s="5"/>
      <c r="C288" s="14"/>
      <c r="D288" s="14"/>
      <c r="E288" s="14"/>
      <c r="F288" s="14"/>
      <c r="G288" s="1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</row>
    <row r="289" spans="1:18" ht="12.75">
      <c r="A289" s="5"/>
      <c r="B289" s="5"/>
      <c r="C289" s="14"/>
      <c r="D289" s="14"/>
      <c r="E289" s="14"/>
      <c r="F289" s="14"/>
      <c r="G289" s="1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</row>
    <row r="290" spans="1:18" ht="12.75">
      <c r="A290" s="5"/>
      <c r="B290" s="5"/>
      <c r="C290" s="14"/>
      <c r="D290" s="14"/>
      <c r="E290" s="14"/>
      <c r="F290" s="14"/>
      <c r="G290" s="1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</row>
    <row r="291" spans="1:18" ht="12.75">
      <c r="A291" s="5"/>
      <c r="B291" s="5"/>
      <c r="C291" s="14"/>
      <c r="D291" s="14"/>
      <c r="E291" s="14"/>
      <c r="F291" s="14"/>
      <c r="G291" s="1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</row>
    <row r="292" spans="1:18" ht="12.75">
      <c r="A292" s="5"/>
      <c r="B292" s="5"/>
      <c r="C292" s="14"/>
      <c r="D292" s="14"/>
      <c r="E292" s="14"/>
      <c r="F292" s="14"/>
      <c r="G292" s="1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</row>
    <row r="293" spans="1:18" ht="12.75">
      <c r="A293" s="5"/>
      <c r="B293" s="5"/>
      <c r="C293" s="14"/>
      <c r="D293" s="14"/>
      <c r="E293" s="14"/>
      <c r="F293" s="14"/>
      <c r="G293" s="1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</row>
    <row r="294" spans="1:18" ht="12.75">
      <c r="A294" s="5"/>
      <c r="B294" s="5"/>
      <c r="C294" s="14"/>
      <c r="D294" s="14"/>
      <c r="E294" s="14"/>
      <c r="F294" s="14"/>
      <c r="G294" s="1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</row>
    <row r="295" spans="1:18" ht="12.75">
      <c r="A295" s="5"/>
      <c r="B295" s="5"/>
      <c r="C295" s="14"/>
      <c r="D295" s="14"/>
      <c r="E295" s="14"/>
      <c r="F295" s="14"/>
      <c r="G295" s="1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</row>
    <row r="296" spans="1:18" ht="12.75">
      <c r="A296" s="5"/>
      <c r="B296" s="5"/>
      <c r="C296" s="14"/>
      <c r="D296" s="14"/>
      <c r="E296" s="14"/>
      <c r="F296" s="14"/>
      <c r="G296" s="1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</row>
    <row r="297" spans="1:18" ht="12.75">
      <c r="A297" s="5"/>
      <c r="B297" s="5"/>
      <c r="C297" s="14"/>
      <c r="D297" s="14"/>
      <c r="E297" s="14"/>
      <c r="F297" s="14"/>
      <c r="G297" s="1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</row>
    <row r="298" spans="1:18" ht="12.75">
      <c r="A298" s="5"/>
      <c r="B298" s="5"/>
      <c r="C298" s="14"/>
      <c r="D298" s="14"/>
      <c r="E298" s="14"/>
      <c r="F298" s="14"/>
      <c r="G298" s="1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</row>
    <row r="299" spans="1:18" ht="12.75">
      <c r="A299" s="5"/>
      <c r="B299" s="5"/>
      <c r="C299" s="14"/>
      <c r="D299" s="14"/>
      <c r="E299" s="14"/>
      <c r="F299" s="14"/>
      <c r="G299" s="1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</row>
    <row r="300" spans="1:18" ht="12.75">
      <c r="A300" s="5"/>
      <c r="B300" s="5"/>
      <c r="C300" s="14"/>
      <c r="D300" s="14"/>
      <c r="E300" s="14"/>
      <c r="F300" s="14"/>
      <c r="G300" s="1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1:18" ht="12.75">
      <c r="A301" s="5"/>
      <c r="B301" s="5"/>
      <c r="C301" s="14"/>
      <c r="D301" s="14"/>
      <c r="E301" s="14"/>
      <c r="F301" s="14"/>
      <c r="G301" s="1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</row>
    <row r="302" spans="1:18" ht="12.75">
      <c r="A302" s="5"/>
      <c r="B302" s="5"/>
      <c r="C302" s="14"/>
      <c r="D302" s="14"/>
      <c r="E302" s="14"/>
      <c r="F302" s="14"/>
      <c r="G302" s="1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</row>
    <row r="303" spans="1:18" ht="12.75">
      <c r="A303" s="5"/>
      <c r="B303" s="5"/>
      <c r="C303" s="14"/>
      <c r="D303" s="14"/>
      <c r="E303" s="14"/>
      <c r="F303" s="14"/>
      <c r="G303" s="1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</row>
    <row r="304" spans="1:18" ht="12.75">
      <c r="A304" s="5"/>
      <c r="B304" s="5"/>
      <c r="C304" s="14"/>
      <c r="D304" s="14"/>
      <c r="E304" s="14"/>
      <c r="F304" s="14"/>
      <c r="G304" s="1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</row>
    <row r="305" spans="1:18" ht="12.75">
      <c r="A305" s="5"/>
      <c r="B305" s="5"/>
      <c r="C305" s="14"/>
      <c r="D305" s="14"/>
      <c r="E305" s="14"/>
      <c r="F305" s="14"/>
      <c r="G305" s="1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</row>
    <row r="306" spans="1:18" ht="12.75">
      <c r="A306" s="5"/>
      <c r="B306" s="5"/>
      <c r="C306" s="14"/>
      <c r="D306" s="14"/>
      <c r="E306" s="14"/>
      <c r="F306" s="14"/>
      <c r="G306" s="1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</row>
    <row r="307" spans="1:18" ht="12.75">
      <c r="A307" s="5"/>
      <c r="B307" s="5"/>
      <c r="C307" s="14"/>
      <c r="D307" s="14"/>
      <c r="E307" s="14"/>
      <c r="F307" s="14"/>
      <c r="G307" s="1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</row>
    <row r="308" spans="1:18" ht="12.75">
      <c r="A308" s="5"/>
      <c r="B308" s="5"/>
      <c r="C308" s="14"/>
      <c r="D308" s="14"/>
      <c r="E308" s="14"/>
      <c r="F308" s="14"/>
      <c r="G308" s="1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</row>
    <row r="309" spans="1:18" ht="12.75">
      <c r="A309" s="5"/>
      <c r="B309" s="5"/>
      <c r="C309" s="14"/>
      <c r="D309" s="14"/>
      <c r="E309" s="14"/>
      <c r="F309" s="14"/>
      <c r="G309" s="1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</row>
    <row r="310" spans="1:18" ht="12.75">
      <c r="A310" s="5"/>
      <c r="B310" s="5"/>
      <c r="C310" s="14"/>
      <c r="D310" s="14"/>
      <c r="E310" s="14"/>
      <c r="F310" s="14"/>
      <c r="G310" s="1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</row>
    <row r="311" spans="1:18" ht="12.75">
      <c r="A311" s="5"/>
      <c r="B311" s="5"/>
      <c r="C311" s="14"/>
      <c r="D311" s="14"/>
      <c r="E311" s="14"/>
      <c r="F311" s="14"/>
      <c r="G311" s="1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</row>
    <row r="312" spans="1:18" ht="12.75">
      <c r="A312" s="5"/>
      <c r="B312" s="5"/>
      <c r="C312" s="14"/>
      <c r="D312" s="14"/>
      <c r="E312" s="14"/>
      <c r="F312" s="14"/>
      <c r="G312" s="1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</row>
    <row r="313" spans="1:18" ht="12.75">
      <c r="A313" s="5"/>
      <c r="B313" s="5"/>
      <c r="C313" s="14"/>
      <c r="D313" s="14"/>
      <c r="E313" s="14"/>
      <c r="F313" s="14"/>
      <c r="G313" s="1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</row>
    <row r="314" spans="1:18" ht="12.75">
      <c r="A314" s="5"/>
      <c r="B314" s="5"/>
      <c r="C314" s="14"/>
      <c r="D314" s="14"/>
      <c r="E314" s="14"/>
      <c r="F314" s="14"/>
      <c r="G314" s="1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</row>
    <row r="315" spans="1:18" ht="12.75">
      <c r="A315" s="5"/>
      <c r="B315" s="5"/>
      <c r="C315" s="14"/>
      <c r="D315" s="14"/>
      <c r="E315" s="14"/>
      <c r="F315" s="14"/>
      <c r="G315" s="1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1:18" ht="12.75">
      <c r="A316" s="5"/>
      <c r="B316" s="5"/>
      <c r="C316" s="14"/>
      <c r="D316" s="14"/>
      <c r="E316" s="14"/>
      <c r="F316" s="14"/>
      <c r="G316" s="1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</row>
    <row r="317" spans="1:18" ht="12.75">
      <c r="A317" s="5"/>
      <c r="B317" s="5"/>
      <c r="C317" s="14"/>
      <c r="D317" s="14"/>
      <c r="E317" s="14"/>
      <c r="F317" s="14"/>
      <c r="G317" s="1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</row>
    <row r="318" spans="1:18" ht="12.75">
      <c r="A318" s="5"/>
      <c r="B318" s="5"/>
      <c r="C318" s="14"/>
      <c r="D318" s="14"/>
      <c r="E318" s="14"/>
      <c r="F318" s="14"/>
      <c r="G318" s="1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</row>
    <row r="319" spans="1:18" ht="12.75">
      <c r="A319" s="5"/>
      <c r="B319" s="5"/>
      <c r="C319" s="14"/>
      <c r="D319" s="14"/>
      <c r="E319" s="14"/>
      <c r="F319" s="14"/>
      <c r="G319" s="1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</row>
    <row r="320" spans="1:18" ht="12.75">
      <c r="A320" s="5"/>
      <c r="B320" s="5"/>
      <c r="C320" s="14"/>
      <c r="D320" s="14"/>
      <c r="E320" s="14"/>
      <c r="F320" s="14"/>
      <c r="G320" s="1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</row>
    <row r="321" spans="1:18" ht="12.75">
      <c r="A321" s="5"/>
      <c r="B321" s="5"/>
      <c r="C321" s="14"/>
      <c r="D321" s="14"/>
      <c r="E321" s="14"/>
      <c r="F321" s="14"/>
      <c r="G321" s="1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</row>
    <row r="322" spans="1:18" ht="12.75">
      <c r="A322" s="5"/>
      <c r="B322" s="5"/>
      <c r="C322" s="14"/>
      <c r="D322" s="14"/>
      <c r="E322" s="14"/>
      <c r="F322" s="14"/>
      <c r="G322" s="1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</row>
    <row r="323" spans="1:18" ht="12.75">
      <c r="A323" s="5"/>
      <c r="B323" s="5"/>
      <c r="C323" s="14"/>
      <c r="D323" s="14"/>
      <c r="E323" s="14"/>
      <c r="F323" s="14"/>
      <c r="G323" s="1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</row>
    <row r="324" spans="1:18" ht="12.75">
      <c r="A324" s="5"/>
      <c r="B324" s="5"/>
      <c r="C324" s="14"/>
      <c r="D324" s="14"/>
      <c r="E324" s="14"/>
      <c r="F324" s="14"/>
      <c r="G324" s="1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</row>
    <row r="325" spans="1:18" ht="12.75">
      <c r="A325" s="5"/>
      <c r="B325" s="5"/>
      <c r="C325" s="14"/>
      <c r="D325" s="14"/>
      <c r="E325" s="14"/>
      <c r="F325" s="14"/>
      <c r="G325" s="1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</row>
    <row r="326" spans="1:18" ht="12.75">
      <c r="A326" s="5"/>
      <c r="B326" s="5"/>
      <c r="C326" s="14"/>
      <c r="D326" s="14"/>
      <c r="E326" s="14"/>
      <c r="F326" s="14"/>
      <c r="G326" s="1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</row>
    <row r="327" spans="1:18" ht="12.75">
      <c r="A327" s="5"/>
      <c r="B327" s="5"/>
      <c r="C327" s="14"/>
      <c r="D327" s="14"/>
      <c r="E327" s="14"/>
      <c r="F327" s="14"/>
      <c r="G327" s="1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</row>
    <row r="328" spans="1:18" ht="12.75">
      <c r="A328" s="5"/>
      <c r="B328" s="5"/>
      <c r="C328" s="14"/>
      <c r="D328" s="14"/>
      <c r="E328" s="14"/>
      <c r="F328" s="14"/>
      <c r="G328" s="1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</row>
    <row r="329" spans="1:18" ht="12.75">
      <c r="A329" s="5"/>
      <c r="B329" s="5"/>
      <c r="C329" s="14"/>
      <c r="D329" s="14"/>
      <c r="E329" s="14"/>
      <c r="F329" s="14"/>
      <c r="G329" s="1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</row>
    <row r="330" spans="1:18" ht="12.75">
      <c r="A330" s="5"/>
      <c r="B330" s="5"/>
      <c r="C330" s="14"/>
      <c r="D330" s="14"/>
      <c r="E330" s="14"/>
      <c r="F330" s="14"/>
      <c r="G330" s="1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</row>
    <row r="331" spans="1:18" ht="12.75">
      <c r="A331" s="5"/>
      <c r="B331" s="5"/>
      <c r="C331" s="14"/>
      <c r="D331" s="14"/>
      <c r="E331" s="14"/>
      <c r="F331" s="14"/>
      <c r="G331" s="1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1:18" ht="12.75">
      <c r="A332" s="5"/>
      <c r="B332" s="5"/>
      <c r="C332" s="14"/>
      <c r="D332" s="14"/>
      <c r="E332" s="14"/>
      <c r="F332" s="14"/>
      <c r="G332" s="1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</row>
    <row r="333" spans="1:18" ht="12.75">
      <c r="A333" s="5"/>
      <c r="B333" s="5"/>
      <c r="C333" s="14"/>
      <c r="D333" s="14"/>
      <c r="E333" s="14"/>
      <c r="F333" s="14"/>
      <c r="G333" s="1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</row>
    <row r="334" spans="1:18" ht="12.75">
      <c r="A334" s="5"/>
      <c r="B334" s="5"/>
      <c r="C334" s="14"/>
      <c r="D334" s="14"/>
      <c r="E334" s="14"/>
      <c r="F334" s="14"/>
      <c r="G334" s="1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</row>
    <row r="335" spans="1:18" ht="12.75">
      <c r="A335" s="5"/>
      <c r="B335" s="5"/>
      <c r="C335" s="14"/>
      <c r="D335" s="14"/>
      <c r="E335" s="14"/>
      <c r="F335" s="14"/>
      <c r="G335" s="1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</row>
    <row r="336" spans="1:18" ht="12.75">
      <c r="A336" s="5"/>
      <c r="B336" s="5"/>
      <c r="C336" s="14"/>
      <c r="D336" s="14"/>
      <c r="E336" s="14"/>
      <c r="F336" s="14"/>
      <c r="G336" s="1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</row>
    <row r="337" spans="1:18" ht="12.75">
      <c r="A337" s="5"/>
      <c r="B337" s="5"/>
      <c r="C337" s="14"/>
      <c r="D337" s="14"/>
      <c r="E337" s="14"/>
      <c r="F337" s="14"/>
      <c r="G337" s="1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</row>
    <row r="338" spans="1:18" ht="12.75">
      <c r="A338" s="5"/>
      <c r="B338" s="5"/>
      <c r="C338" s="14"/>
      <c r="D338" s="14"/>
      <c r="E338" s="14"/>
      <c r="F338" s="14"/>
      <c r="G338" s="1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</row>
    <row r="339" spans="1:18" ht="12.75">
      <c r="A339" s="5"/>
      <c r="B339" s="5"/>
      <c r="C339" s="14"/>
      <c r="D339" s="14"/>
      <c r="E339" s="14"/>
      <c r="F339" s="14"/>
      <c r="G339" s="1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</row>
    <row r="340" spans="1:18" ht="12.75">
      <c r="A340" s="5"/>
      <c r="B340" s="5"/>
      <c r="C340" s="14"/>
      <c r="D340" s="14"/>
      <c r="E340" s="14"/>
      <c r="F340" s="14"/>
      <c r="G340" s="1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</row>
    <row r="341" spans="1:18" ht="12.75">
      <c r="A341" s="5"/>
      <c r="B341" s="5"/>
      <c r="C341" s="14"/>
      <c r="D341" s="14"/>
      <c r="E341" s="14"/>
      <c r="F341" s="14"/>
      <c r="G341" s="1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</row>
    <row r="342" spans="1:18" ht="12.75">
      <c r="A342" s="5"/>
      <c r="B342" s="5"/>
      <c r="C342" s="14"/>
      <c r="D342" s="14"/>
      <c r="E342" s="14"/>
      <c r="F342" s="14"/>
      <c r="G342" s="1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</row>
    <row r="343" spans="1:18" ht="12.75">
      <c r="A343" s="5"/>
      <c r="B343" s="5"/>
      <c r="C343" s="14"/>
      <c r="D343" s="14"/>
      <c r="E343" s="14"/>
      <c r="F343" s="14"/>
      <c r="G343" s="1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</row>
    <row r="344" spans="1:18" ht="12.75">
      <c r="A344" s="5"/>
      <c r="B344" s="5"/>
      <c r="C344" s="14"/>
      <c r="D344" s="14"/>
      <c r="E344" s="14"/>
      <c r="F344" s="14"/>
      <c r="G344" s="1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</row>
    <row r="345" spans="1:18" ht="12.75">
      <c r="A345" s="5"/>
      <c r="B345" s="5"/>
      <c r="C345" s="14"/>
      <c r="D345" s="14"/>
      <c r="E345" s="14"/>
      <c r="F345" s="14"/>
      <c r="G345" s="1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</row>
    <row r="346" spans="1:18" ht="12.75">
      <c r="A346" s="5"/>
      <c r="B346" s="5"/>
      <c r="C346" s="14"/>
      <c r="D346" s="14"/>
      <c r="E346" s="14"/>
      <c r="F346" s="14"/>
      <c r="G346" s="1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1:18" ht="12.75">
      <c r="A347" s="5"/>
      <c r="B347" s="5"/>
      <c r="C347" s="14"/>
      <c r="D347" s="14"/>
      <c r="E347" s="14"/>
      <c r="F347" s="14"/>
      <c r="G347" s="1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</row>
    <row r="348" spans="1:18" ht="12.75">
      <c r="A348" s="5"/>
      <c r="B348" s="5"/>
      <c r="C348" s="14"/>
      <c r="D348" s="14"/>
      <c r="E348" s="14"/>
      <c r="F348" s="14"/>
      <c r="G348" s="1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</row>
    <row r="349" spans="1:18" ht="12.75">
      <c r="A349" s="5"/>
      <c r="B349" s="5"/>
      <c r="C349" s="14"/>
      <c r="D349" s="14"/>
      <c r="E349" s="14"/>
      <c r="F349" s="14"/>
      <c r="G349" s="1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</row>
    <row r="350" spans="1:18" ht="12.75">
      <c r="A350" s="5"/>
      <c r="B350" s="5"/>
      <c r="C350" s="14"/>
      <c r="D350" s="14"/>
      <c r="E350" s="14"/>
      <c r="F350" s="14"/>
      <c r="G350" s="1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</row>
    <row r="351" spans="1:18" ht="12.75">
      <c r="A351" s="5"/>
      <c r="B351" s="5"/>
      <c r="C351" s="14"/>
      <c r="D351" s="14"/>
      <c r="E351" s="14"/>
      <c r="F351" s="14"/>
      <c r="G351" s="1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</row>
    <row r="352" spans="1:18" ht="12.75">
      <c r="A352" s="5"/>
      <c r="B352" s="5"/>
      <c r="C352" s="14"/>
      <c r="D352" s="14"/>
      <c r="E352" s="14"/>
      <c r="F352" s="14"/>
      <c r="G352" s="1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</row>
    <row r="353" spans="1:18" ht="12.75">
      <c r="A353" s="5"/>
      <c r="B353" s="5"/>
      <c r="C353" s="14"/>
      <c r="D353" s="14"/>
      <c r="E353" s="14"/>
      <c r="F353" s="14"/>
      <c r="G353" s="1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</row>
    <row r="354" spans="1:18" ht="12.75">
      <c r="A354" s="5"/>
      <c r="B354" s="5"/>
      <c r="C354" s="14"/>
      <c r="D354" s="14"/>
      <c r="E354" s="14"/>
      <c r="F354" s="14"/>
      <c r="G354" s="1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</row>
    <row r="355" spans="1:18" ht="12.75">
      <c r="A355" s="5"/>
      <c r="B355" s="5"/>
      <c r="C355" s="14"/>
      <c r="D355" s="14"/>
      <c r="E355" s="14"/>
      <c r="F355" s="14"/>
      <c r="G355" s="1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</row>
    <row r="356" spans="1:18" ht="12.75">
      <c r="A356" s="5"/>
      <c r="B356" s="5"/>
      <c r="C356" s="14"/>
      <c r="D356" s="14"/>
      <c r="E356" s="14"/>
      <c r="F356" s="14"/>
      <c r="G356" s="1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</row>
    <row r="357" spans="1:18" ht="12.75">
      <c r="A357" s="5"/>
      <c r="B357" s="5"/>
      <c r="C357" s="14"/>
      <c r="D357" s="14"/>
      <c r="E357" s="14"/>
      <c r="F357" s="14"/>
      <c r="G357" s="1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</row>
    <row r="358" spans="1:18" ht="12.75">
      <c r="A358" s="5"/>
      <c r="B358" s="5"/>
      <c r="C358" s="14"/>
      <c r="D358" s="14"/>
      <c r="E358" s="14"/>
      <c r="F358" s="14"/>
      <c r="G358" s="1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</row>
    <row r="359" spans="1:18" ht="12.75">
      <c r="A359" s="5"/>
      <c r="B359" s="5"/>
      <c r="C359" s="14"/>
      <c r="D359" s="14"/>
      <c r="E359" s="14"/>
      <c r="F359" s="14"/>
      <c r="G359" s="1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</row>
    <row r="360" spans="1:18" ht="12.75">
      <c r="A360" s="5"/>
      <c r="B360" s="5"/>
      <c r="C360" s="14"/>
      <c r="D360" s="14"/>
      <c r="E360" s="14"/>
      <c r="F360" s="14"/>
      <c r="G360" s="1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</row>
    <row r="361" spans="1:18" ht="12.75">
      <c r="A361" s="5"/>
      <c r="B361" s="5"/>
      <c r="C361" s="14"/>
      <c r="D361" s="14"/>
      <c r="E361" s="14"/>
      <c r="F361" s="14"/>
      <c r="G361" s="1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</row>
    <row r="362" spans="1:18" ht="12.75">
      <c r="A362" s="5"/>
      <c r="B362" s="5"/>
      <c r="C362" s="14"/>
      <c r="D362" s="14"/>
      <c r="E362" s="14"/>
      <c r="F362" s="14"/>
      <c r="G362" s="1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1:18" ht="12.75">
      <c r="A363" s="5"/>
      <c r="B363" s="5"/>
      <c r="C363" s="14"/>
      <c r="D363" s="14"/>
      <c r="E363" s="14"/>
      <c r="F363" s="14"/>
      <c r="G363" s="1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</row>
    <row r="364" spans="1:18" ht="12.75">
      <c r="A364" s="5"/>
      <c r="B364" s="5"/>
      <c r="C364" s="14"/>
      <c r="D364" s="14"/>
      <c r="E364" s="14"/>
      <c r="F364" s="14"/>
      <c r="G364" s="1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</row>
    <row r="365" spans="1:18" ht="12.75">
      <c r="A365" s="5"/>
      <c r="B365" s="5"/>
      <c r="C365" s="14"/>
      <c r="D365" s="14"/>
      <c r="E365" s="14"/>
      <c r="F365" s="14"/>
      <c r="G365" s="1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</row>
    <row r="366" spans="1:18" ht="12.75">
      <c r="A366" s="5"/>
      <c r="B366" s="5"/>
      <c r="C366" s="14"/>
      <c r="D366" s="14"/>
      <c r="E366" s="14"/>
      <c r="F366" s="14"/>
      <c r="G366" s="1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</row>
    <row r="367" spans="1:18" ht="12.75">
      <c r="A367" s="5"/>
      <c r="B367" s="5"/>
      <c r="C367" s="14"/>
      <c r="D367" s="14"/>
      <c r="E367" s="14"/>
      <c r="F367" s="14"/>
      <c r="G367" s="1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</row>
    <row r="368" spans="1:18" ht="12.75">
      <c r="A368" s="5"/>
      <c r="B368" s="5"/>
      <c r="C368" s="14"/>
      <c r="D368" s="14"/>
      <c r="E368" s="14"/>
      <c r="F368" s="14"/>
      <c r="G368" s="1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</row>
    <row r="369" spans="1:18" ht="12.75">
      <c r="A369" s="5"/>
      <c r="B369" s="5"/>
      <c r="C369" s="14"/>
      <c r="D369" s="14"/>
      <c r="E369" s="14"/>
      <c r="F369" s="14"/>
      <c r="G369" s="1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</row>
    <row r="370" spans="1:18" ht="12.75">
      <c r="A370" s="5"/>
      <c r="B370" s="5"/>
      <c r="C370" s="14"/>
      <c r="D370" s="14"/>
      <c r="E370" s="14"/>
      <c r="F370" s="14"/>
      <c r="G370" s="1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</row>
    <row r="371" spans="1:18" ht="12.75">
      <c r="A371" s="5"/>
      <c r="B371" s="5"/>
      <c r="C371" s="14"/>
      <c r="D371" s="14"/>
      <c r="E371" s="14"/>
      <c r="F371" s="14"/>
      <c r="G371" s="1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</row>
    <row r="372" spans="1:18" ht="12.75">
      <c r="A372" s="5"/>
      <c r="B372" s="5"/>
      <c r="C372" s="14"/>
      <c r="D372" s="14"/>
      <c r="E372" s="14"/>
      <c r="F372" s="14"/>
      <c r="G372" s="1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</row>
    <row r="373" spans="1:18" ht="12.75">
      <c r="A373" s="5"/>
      <c r="B373" s="5"/>
      <c r="C373" s="14"/>
      <c r="D373" s="14"/>
      <c r="E373" s="14"/>
      <c r="F373" s="14"/>
      <c r="G373" s="1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</row>
    <row r="374" spans="1:18" ht="12.75">
      <c r="A374" s="5"/>
      <c r="B374" s="5"/>
      <c r="C374" s="14"/>
      <c r="D374" s="14"/>
      <c r="E374" s="14"/>
      <c r="F374" s="14"/>
      <c r="G374" s="1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</row>
    <row r="375" spans="1:18" ht="12.75">
      <c r="A375" s="5"/>
      <c r="B375" s="5"/>
      <c r="C375" s="14"/>
      <c r="D375" s="14"/>
      <c r="E375" s="14"/>
      <c r="F375" s="14"/>
      <c r="G375" s="1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</row>
    <row r="376" spans="1:18" ht="12.75">
      <c r="A376" s="5"/>
      <c r="B376" s="5"/>
      <c r="C376" s="14"/>
      <c r="D376" s="14"/>
      <c r="E376" s="14"/>
      <c r="F376" s="14"/>
      <c r="G376" s="1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</row>
    <row r="377" spans="1:18" ht="12.75">
      <c r="A377" s="5"/>
      <c r="B377" s="5"/>
      <c r="C377" s="14"/>
      <c r="D377" s="14"/>
      <c r="E377" s="14"/>
      <c r="F377" s="14"/>
      <c r="G377" s="1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1:18" ht="12.75">
      <c r="A378" s="5"/>
      <c r="B378" s="5"/>
      <c r="C378" s="14"/>
      <c r="D378" s="14"/>
      <c r="E378" s="14"/>
      <c r="F378" s="14"/>
      <c r="G378" s="1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</row>
    <row r="379" spans="1:18" ht="12.75">
      <c r="A379" s="5"/>
      <c r="B379" s="5"/>
      <c r="C379" s="14"/>
      <c r="D379" s="14"/>
      <c r="E379" s="14"/>
      <c r="F379" s="14"/>
      <c r="G379" s="1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</row>
    <row r="380" spans="1:18" ht="12.75">
      <c r="A380" s="5"/>
      <c r="B380" s="5"/>
      <c r="C380" s="14"/>
      <c r="D380" s="14"/>
      <c r="E380" s="14"/>
      <c r="F380" s="14"/>
      <c r="G380" s="1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</row>
    <row r="381" spans="1:18" ht="12.75">
      <c r="A381" s="5"/>
      <c r="B381" s="5"/>
      <c r="C381" s="14"/>
      <c r="D381" s="14"/>
      <c r="E381" s="14"/>
      <c r="F381" s="14"/>
      <c r="G381" s="1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</row>
    <row r="382" spans="1:18" ht="12.75">
      <c r="A382" s="5"/>
      <c r="B382" s="5"/>
      <c r="C382" s="14"/>
      <c r="D382" s="14"/>
      <c r="E382" s="14"/>
      <c r="F382" s="14"/>
      <c r="G382" s="1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</row>
    <row r="383" spans="1:18" ht="12.75">
      <c r="A383" s="5"/>
      <c r="B383" s="5"/>
      <c r="C383" s="14"/>
      <c r="D383" s="14"/>
      <c r="E383" s="14"/>
      <c r="F383" s="14"/>
      <c r="G383" s="1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</row>
    <row r="384" spans="1:18" ht="12.75">
      <c r="A384" s="5"/>
      <c r="B384" s="5"/>
      <c r="C384" s="14"/>
      <c r="D384" s="14"/>
      <c r="E384" s="14"/>
      <c r="F384" s="14"/>
      <c r="G384" s="1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</row>
    <row r="385" spans="1:18" ht="12.75">
      <c r="A385" s="5"/>
      <c r="B385" s="5"/>
      <c r="C385" s="14"/>
      <c r="D385" s="14"/>
      <c r="E385" s="14"/>
      <c r="F385" s="14"/>
      <c r="G385" s="1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</row>
    <row r="386" spans="1:18" ht="12.75">
      <c r="A386" s="5"/>
      <c r="B386" s="5"/>
      <c r="C386" s="14"/>
      <c r="D386" s="14"/>
      <c r="E386" s="14"/>
      <c r="F386" s="14"/>
      <c r="G386" s="1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</row>
    <row r="387" spans="1:18" ht="12.75">
      <c r="A387" s="5"/>
      <c r="B387" s="5"/>
      <c r="C387" s="14"/>
      <c r="D387" s="14"/>
      <c r="E387" s="14"/>
      <c r="F387" s="14"/>
      <c r="G387" s="1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</row>
    <row r="388" spans="1:18" ht="12.75">
      <c r="A388" s="5"/>
      <c r="B388" s="5"/>
      <c r="C388" s="14"/>
      <c r="D388" s="14"/>
      <c r="E388" s="14"/>
      <c r="F388" s="14"/>
      <c r="G388" s="1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</row>
    <row r="389" spans="1:18" ht="12.75">
      <c r="A389" s="5"/>
      <c r="B389" s="5"/>
      <c r="C389" s="14"/>
      <c r="D389" s="14"/>
      <c r="E389" s="14"/>
      <c r="F389" s="14"/>
      <c r="G389" s="1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</row>
    <row r="390" spans="1:18" ht="12.75">
      <c r="A390" s="5"/>
      <c r="B390" s="5"/>
      <c r="C390" s="14"/>
      <c r="D390" s="14"/>
      <c r="E390" s="14"/>
      <c r="F390" s="14"/>
      <c r="G390" s="1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</row>
    <row r="391" spans="1:18" ht="12.75">
      <c r="A391" s="5"/>
      <c r="B391" s="5"/>
      <c r="C391" s="14"/>
      <c r="D391" s="14"/>
      <c r="E391" s="14"/>
      <c r="F391" s="14"/>
      <c r="G391" s="1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</row>
    <row r="392" spans="1:18" ht="12.75">
      <c r="A392" s="5"/>
      <c r="B392" s="5"/>
      <c r="C392" s="14"/>
      <c r="D392" s="14"/>
      <c r="E392" s="14"/>
      <c r="F392" s="14"/>
      <c r="G392" s="1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</row>
    <row r="393" spans="1:18" ht="12.75">
      <c r="A393" s="5"/>
      <c r="B393" s="5"/>
      <c r="C393" s="14"/>
      <c r="D393" s="14"/>
      <c r="E393" s="14"/>
      <c r="F393" s="14"/>
      <c r="G393" s="1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1:18" ht="12.75">
      <c r="A394" s="5"/>
      <c r="B394" s="5"/>
      <c r="C394" s="14"/>
      <c r="D394" s="14"/>
      <c r="E394" s="14"/>
      <c r="F394" s="14"/>
      <c r="G394" s="1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</row>
    <row r="395" spans="1:18" ht="12.75">
      <c r="A395" s="5"/>
      <c r="B395" s="5"/>
      <c r="C395" s="14"/>
      <c r="D395" s="14"/>
      <c r="E395" s="14"/>
      <c r="F395" s="14"/>
      <c r="G395" s="1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</row>
    <row r="396" spans="1:18" ht="12.75">
      <c r="A396" s="5"/>
      <c r="B396" s="5"/>
      <c r="C396" s="14"/>
      <c r="D396" s="14"/>
      <c r="E396" s="14"/>
      <c r="F396" s="14"/>
      <c r="G396" s="1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</row>
    <row r="397" spans="1:18" ht="12.75">
      <c r="A397" s="5"/>
      <c r="B397" s="5"/>
      <c r="C397" s="14"/>
      <c r="D397" s="14"/>
      <c r="E397" s="14"/>
      <c r="F397" s="14"/>
      <c r="G397" s="1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</row>
    <row r="398" spans="1:18" ht="12.75">
      <c r="A398" s="5"/>
      <c r="B398" s="5"/>
      <c r="C398" s="14"/>
      <c r="D398" s="14"/>
      <c r="E398" s="14"/>
      <c r="F398" s="14"/>
      <c r="G398" s="1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</row>
    <row r="399" spans="1:18" ht="12.75">
      <c r="A399" s="5"/>
      <c r="B399" s="5"/>
      <c r="C399" s="14"/>
      <c r="D399" s="14"/>
      <c r="E399" s="14"/>
      <c r="F399" s="14"/>
      <c r="G399" s="1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</row>
    <row r="400" spans="1:18" ht="12.75">
      <c r="A400" s="5"/>
      <c r="B400" s="5"/>
      <c r="C400" s="14"/>
      <c r="D400" s="14"/>
      <c r="E400" s="14"/>
      <c r="F400" s="14"/>
      <c r="G400" s="1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</row>
    <row r="401" spans="1:18" ht="12.75">
      <c r="A401" s="5"/>
      <c r="B401" s="5"/>
      <c r="C401" s="14"/>
      <c r="D401" s="14"/>
      <c r="E401" s="14"/>
      <c r="F401" s="14"/>
      <c r="G401" s="1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</row>
    <row r="402" spans="1:18" ht="12.75">
      <c r="A402" s="5"/>
      <c r="B402" s="5"/>
      <c r="C402" s="14"/>
      <c r="D402" s="14"/>
      <c r="E402" s="14"/>
      <c r="F402" s="14"/>
      <c r="G402" s="1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</row>
    <row r="403" spans="1:18" ht="12.75">
      <c r="A403" s="5"/>
      <c r="B403" s="5"/>
      <c r="C403" s="14"/>
      <c r="D403" s="14"/>
      <c r="E403" s="14"/>
      <c r="F403" s="14"/>
      <c r="G403" s="1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</row>
    <row r="404" spans="1:18" ht="12.75">
      <c r="A404" s="5"/>
      <c r="B404" s="5"/>
      <c r="C404" s="14"/>
      <c r="D404" s="14"/>
      <c r="E404" s="14"/>
      <c r="F404" s="14"/>
      <c r="G404" s="1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</row>
    <row r="405" spans="1:18" ht="12.75">
      <c r="A405" s="5"/>
      <c r="B405" s="5"/>
      <c r="C405" s="14"/>
      <c r="D405" s="14"/>
      <c r="E405" s="14"/>
      <c r="F405" s="14"/>
      <c r="G405" s="1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</row>
    <row r="406" spans="1:18" ht="12.75">
      <c r="A406" s="5"/>
      <c r="B406" s="5"/>
      <c r="C406" s="14"/>
      <c r="D406" s="14"/>
      <c r="E406" s="14"/>
      <c r="F406" s="14"/>
      <c r="G406" s="1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</row>
    <row r="407" spans="1:18" ht="12.75">
      <c r="A407" s="5"/>
      <c r="B407" s="5"/>
      <c r="C407" s="14"/>
      <c r="D407" s="14"/>
      <c r="E407" s="14"/>
      <c r="F407" s="14"/>
      <c r="G407" s="1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</row>
    <row r="408" spans="1:18" ht="12.75">
      <c r="A408" s="5"/>
      <c r="B408" s="5"/>
      <c r="C408" s="14"/>
      <c r="D408" s="14"/>
      <c r="E408" s="14"/>
      <c r="F408" s="14"/>
      <c r="G408" s="1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1:18" ht="12.75">
      <c r="A409" s="5"/>
      <c r="B409" s="5"/>
      <c r="C409" s="14"/>
      <c r="D409" s="14"/>
      <c r="E409" s="14"/>
      <c r="F409" s="14"/>
      <c r="G409" s="1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</row>
    <row r="410" spans="1:18" ht="12.75">
      <c r="A410" s="5"/>
      <c r="B410" s="5"/>
      <c r="C410" s="14"/>
      <c r="D410" s="14"/>
      <c r="E410" s="14"/>
      <c r="F410" s="14"/>
      <c r="G410" s="1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</row>
    <row r="411" spans="1:18" ht="12.75">
      <c r="A411" s="5"/>
      <c r="B411" s="5"/>
      <c r="C411" s="14"/>
      <c r="D411" s="14"/>
      <c r="E411" s="14"/>
      <c r="F411" s="14"/>
      <c r="G411" s="1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</row>
    <row r="412" spans="1:18" ht="12.75">
      <c r="A412" s="5"/>
      <c r="B412" s="5"/>
      <c r="C412" s="14"/>
      <c r="D412" s="14"/>
      <c r="E412" s="14"/>
      <c r="F412" s="14"/>
      <c r="G412" s="1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</row>
    <row r="413" spans="1:18" ht="12.75">
      <c r="A413" s="5"/>
      <c r="B413" s="5"/>
      <c r="C413" s="14"/>
      <c r="D413" s="14"/>
      <c r="E413" s="14"/>
      <c r="F413" s="14"/>
      <c r="G413" s="1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</row>
    <row r="414" spans="1:18" ht="12.75">
      <c r="A414" s="5"/>
      <c r="B414" s="5"/>
      <c r="C414" s="14"/>
      <c r="D414" s="14"/>
      <c r="E414" s="14"/>
      <c r="F414" s="14"/>
      <c r="G414" s="1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</row>
    <row r="415" spans="1:18" ht="12.75">
      <c r="A415" s="5"/>
      <c r="B415" s="5"/>
      <c r="C415" s="14"/>
      <c r="D415" s="14"/>
      <c r="E415" s="14"/>
      <c r="F415" s="14"/>
      <c r="G415" s="1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</row>
    <row r="416" spans="1:18" ht="12.75">
      <c r="A416" s="5"/>
      <c r="B416" s="5"/>
      <c r="C416" s="14"/>
      <c r="D416" s="14"/>
      <c r="E416" s="14"/>
      <c r="F416" s="14"/>
      <c r="G416" s="1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</row>
    <row r="417" spans="1:18" ht="12.75">
      <c r="A417" s="5"/>
      <c r="B417" s="5"/>
      <c r="C417" s="14"/>
      <c r="D417" s="14"/>
      <c r="E417" s="14"/>
      <c r="F417" s="14"/>
      <c r="G417" s="1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</row>
    <row r="418" spans="1:18" ht="12.75">
      <c r="A418" s="5"/>
      <c r="B418" s="5"/>
      <c r="C418" s="14"/>
      <c r="D418" s="14"/>
      <c r="E418" s="14"/>
      <c r="F418" s="14"/>
      <c r="G418" s="1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</row>
    <row r="419" spans="1:18" ht="12.75">
      <c r="A419" s="5"/>
      <c r="B419" s="5"/>
      <c r="C419" s="14"/>
      <c r="D419" s="14"/>
      <c r="E419" s="14"/>
      <c r="F419" s="14"/>
      <c r="G419" s="1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</row>
    <row r="420" spans="1:18" ht="12.75">
      <c r="A420" s="5"/>
      <c r="B420" s="5"/>
      <c r="C420" s="14"/>
      <c r="D420" s="14"/>
      <c r="E420" s="14"/>
      <c r="F420" s="14"/>
      <c r="G420" s="1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</row>
    <row r="421" spans="1:18" ht="12.75">
      <c r="A421" s="5"/>
      <c r="B421" s="5"/>
      <c r="C421" s="14"/>
      <c r="D421" s="14"/>
      <c r="E421" s="14"/>
      <c r="F421" s="14"/>
      <c r="G421" s="1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</row>
    <row r="422" spans="1:18" ht="12.75">
      <c r="A422" s="5"/>
      <c r="B422" s="5"/>
      <c r="C422" s="14"/>
      <c r="D422" s="14"/>
      <c r="E422" s="14"/>
      <c r="F422" s="14"/>
      <c r="G422" s="1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</row>
    <row r="423" spans="1:18" ht="12.75">
      <c r="A423" s="5"/>
      <c r="B423" s="5"/>
      <c r="C423" s="14"/>
      <c r="D423" s="14"/>
      <c r="E423" s="14"/>
      <c r="F423" s="14"/>
      <c r="G423" s="1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</row>
    <row r="424" spans="1:18" ht="12.75">
      <c r="A424" s="5"/>
      <c r="B424" s="5"/>
      <c r="C424" s="14"/>
      <c r="D424" s="14"/>
      <c r="E424" s="14"/>
      <c r="F424" s="14"/>
      <c r="G424" s="1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1:18" ht="12.75">
      <c r="A425" s="5"/>
      <c r="B425" s="5"/>
      <c r="C425" s="14"/>
      <c r="D425" s="14"/>
      <c r="E425" s="14"/>
      <c r="F425" s="14"/>
      <c r="G425" s="1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</row>
    <row r="426" spans="1:18" ht="12.75">
      <c r="A426" s="5"/>
      <c r="B426" s="5"/>
      <c r="C426" s="14"/>
      <c r="D426" s="14"/>
      <c r="E426" s="14"/>
      <c r="F426" s="14"/>
      <c r="G426" s="1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</row>
    <row r="427" spans="1:18" ht="12.75">
      <c r="A427" s="5"/>
      <c r="B427" s="5"/>
      <c r="C427" s="14"/>
      <c r="D427" s="14"/>
      <c r="E427" s="14"/>
      <c r="F427" s="14"/>
      <c r="G427" s="1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</row>
    <row r="428" spans="1:18" ht="12.75">
      <c r="A428" s="5"/>
      <c r="B428" s="5"/>
      <c r="C428" s="14"/>
      <c r="D428" s="14"/>
      <c r="E428" s="14"/>
      <c r="F428" s="14"/>
      <c r="G428" s="1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</row>
    <row r="429" spans="1:18" ht="12.75">
      <c r="A429" s="5"/>
      <c r="B429" s="5"/>
      <c r="C429" s="14"/>
      <c r="D429" s="14"/>
      <c r="E429" s="14"/>
      <c r="F429" s="14"/>
      <c r="G429" s="1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</row>
    <row r="430" spans="1:18" ht="12.75">
      <c r="A430" s="5"/>
      <c r="B430" s="5"/>
      <c r="C430" s="14"/>
      <c r="D430" s="14"/>
      <c r="E430" s="14"/>
      <c r="F430" s="14"/>
      <c r="G430" s="1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</row>
    <row r="431" spans="1:18" ht="12.75">
      <c r="A431" s="5"/>
      <c r="B431" s="5"/>
      <c r="C431" s="14"/>
      <c r="D431" s="14"/>
      <c r="E431" s="14"/>
      <c r="F431" s="14"/>
      <c r="G431" s="1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</row>
    <row r="432" spans="1:18" ht="12.75">
      <c r="A432" s="5"/>
      <c r="B432" s="5"/>
      <c r="C432" s="14"/>
      <c r="D432" s="14"/>
      <c r="E432" s="14"/>
      <c r="F432" s="14"/>
      <c r="G432" s="1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</row>
    <row r="433" spans="1:18" ht="12.75">
      <c r="A433" s="5"/>
      <c r="B433" s="5"/>
      <c r="C433" s="14"/>
      <c r="D433" s="14"/>
      <c r="E433" s="14"/>
      <c r="F433" s="14"/>
      <c r="G433" s="1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</row>
    <row r="434" spans="1:18" ht="12.75">
      <c r="A434" s="5"/>
      <c r="B434" s="5"/>
      <c r="C434" s="14"/>
      <c r="D434" s="14"/>
      <c r="E434" s="14"/>
      <c r="F434" s="14"/>
      <c r="G434" s="1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</row>
    <row r="435" spans="1:18" ht="12.75">
      <c r="A435" s="5"/>
      <c r="B435" s="5"/>
      <c r="C435" s="14"/>
      <c r="D435" s="14"/>
      <c r="E435" s="14"/>
      <c r="F435" s="14"/>
      <c r="G435" s="1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</row>
    <row r="436" spans="1:18" ht="12.75">
      <c r="A436" s="5"/>
      <c r="B436" s="5"/>
      <c r="C436" s="14"/>
      <c r="D436" s="14"/>
      <c r="E436" s="14"/>
      <c r="F436" s="14"/>
      <c r="G436" s="1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</row>
    <row r="437" spans="1:18" ht="12.75">
      <c r="A437" s="5"/>
      <c r="B437" s="5"/>
      <c r="C437" s="14"/>
      <c r="D437" s="14"/>
      <c r="E437" s="14"/>
      <c r="F437" s="14"/>
      <c r="G437" s="1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</row>
    <row r="438" spans="1:18" ht="12.75">
      <c r="A438" s="5"/>
      <c r="B438" s="5"/>
      <c r="C438" s="14"/>
      <c r="D438" s="14"/>
      <c r="E438" s="14"/>
      <c r="F438" s="14"/>
      <c r="G438" s="1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</row>
    <row r="439" spans="1:18" ht="12.75">
      <c r="A439" s="5"/>
      <c r="B439" s="5"/>
      <c r="C439" s="14"/>
      <c r="D439" s="14"/>
      <c r="E439" s="14"/>
      <c r="F439" s="14"/>
      <c r="G439" s="1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1:18" ht="12.75">
      <c r="A440" s="5"/>
      <c r="B440" s="5"/>
      <c r="C440" s="14"/>
      <c r="D440" s="14"/>
      <c r="E440" s="14"/>
      <c r="F440" s="14"/>
      <c r="G440" s="1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</row>
    <row r="441" spans="1:18" ht="12.75">
      <c r="A441" s="5"/>
      <c r="B441" s="5"/>
      <c r="C441" s="14"/>
      <c r="D441" s="14"/>
      <c r="E441" s="14"/>
      <c r="F441" s="14"/>
      <c r="G441" s="1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</row>
    <row r="442" spans="1:18" ht="12.75">
      <c r="A442" s="5"/>
      <c r="B442" s="5"/>
      <c r="C442" s="14"/>
      <c r="D442" s="14"/>
      <c r="E442" s="14"/>
      <c r="F442" s="14"/>
      <c r="G442" s="1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</row>
    <row r="443" spans="1:18" ht="12.75">
      <c r="A443" s="5"/>
      <c r="B443" s="5"/>
      <c r="C443" s="14"/>
      <c r="D443" s="14"/>
      <c r="E443" s="14"/>
      <c r="F443" s="14"/>
      <c r="G443" s="1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</row>
    <row r="444" spans="1:18" ht="12.75">
      <c r="A444" s="5"/>
      <c r="B444" s="5"/>
      <c r="C444" s="14"/>
      <c r="D444" s="14"/>
      <c r="E444" s="14"/>
      <c r="F444" s="14"/>
      <c r="G444" s="1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</row>
    <row r="445" spans="1:18" ht="12.75">
      <c r="A445" s="5"/>
      <c r="B445" s="5"/>
      <c r="C445" s="14"/>
      <c r="D445" s="14"/>
      <c r="E445" s="14"/>
      <c r="F445" s="14"/>
      <c r="G445" s="1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</row>
    <row r="446" spans="1:18" ht="12.75">
      <c r="A446" s="5"/>
      <c r="B446" s="5"/>
      <c r="C446" s="14"/>
      <c r="D446" s="14"/>
      <c r="E446" s="14"/>
      <c r="F446" s="14"/>
      <c r="G446" s="1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</row>
    <row r="447" spans="1:18" ht="12.75">
      <c r="A447" s="5"/>
      <c r="B447" s="5"/>
      <c r="C447" s="14"/>
      <c r="D447" s="14"/>
      <c r="E447" s="14"/>
      <c r="F447" s="14"/>
      <c r="G447" s="1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</row>
    <row r="448" spans="1:18" ht="12.75">
      <c r="A448" s="5"/>
      <c r="B448" s="5"/>
      <c r="C448" s="14"/>
      <c r="D448" s="14"/>
      <c r="E448" s="14"/>
      <c r="F448" s="14"/>
      <c r="G448" s="1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</row>
    <row r="449" spans="1:18" ht="12.75">
      <c r="A449" s="5"/>
      <c r="B449" s="5"/>
      <c r="C449" s="14"/>
      <c r="D449" s="14"/>
      <c r="E449" s="14"/>
      <c r="F449" s="14"/>
      <c r="G449" s="1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</row>
    <row r="450" spans="1:18" ht="12.75">
      <c r="A450" s="5"/>
      <c r="B450" s="5"/>
      <c r="C450" s="14"/>
      <c r="D450" s="14"/>
      <c r="E450" s="14"/>
      <c r="F450" s="14"/>
      <c r="G450" s="1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</row>
    <row r="451" spans="1:18" ht="12.75">
      <c r="A451" s="5"/>
      <c r="B451" s="5"/>
      <c r="C451" s="14"/>
      <c r="D451" s="14"/>
      <c r="E451" s="14"/>
      <c r="F451" s="14"/>
      <c r="G451" s="1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</row>
    <row r="452" spans="1:18" ht="12.75">
      <c r="A452" s="5"/>
      <c r="B452" s="5"/>
      <c r="C452" s="14"/>
      <c r="D452" s="14"/>
      <c r="E452" s="14"/>
      <c r="F452" s="14"/>
      <c r="G452" s="1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</row>
    <row r="453" spans="1:18" ht="12.75">
      <c r="A453" s="5"/>
      <c r="B453" s="5"/>
      <c r="C453" s="14"/>
      <c r="D453" s="14"/>
      <c r="E453" s="14"/>
      <c r="F453" s="14"/>
      <c r="G453" s="1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</row>
    <row r="454" spans="1:18" ht="12.75">
      <c r="A454" s="5"/>
      <c r="B454" s="5"/>
      <c r="C454" s="14"/>
      <c r="D454" s="14"/>
      <c r="E454" s="14"/>
      <c r="F454" s="14"/>
      <c r="G454" s="1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</row>
    <row r="455" spans="1:18" ht="12.75">
      <c r="A455" s="5"/>
      <c r="B455" s="5"/>
      <c r="C455" s="14"/>
      <c r="D455" s="14"/>
      <c r="E455" s="14"/>
      <c r="F455" s="14"/>
      <c r="G455" s="1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1:18" ht="12.75">
      <c r="A456" s="5"/>
      <c r="B456" s="5"/>
      <c r="C456" s="14"/>
      <c r="D456" s="14"/>
      <c r="E456" s="14"/>
      <c r="F456" s="14"/>
      <c r="G456" s="1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</row>
    <row r="457" spans="1:18" ht="12.75">
      <c r="A457" s="5"/>
      <c r="B457" s="5"/>
      <c r="C457" s="14"/>
      <c r="D457" s="14"/>
      <c r="E457" s="14"/>
      <c r="F457" s="14"/>
      <c r="G457" s="1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</row>
    <row r="458" spans="1:18" ht="12.75">
      <c r="A458" s="5"/>
      <c r="B458" s="5"/>
      <c r="C458" s="14"/>
      <c r="D458" s="14"/>
      <c r="E458" s="14"/>
      <c r="F458" s="14"/>
      <c r="G458" s="1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</row>
    <row r="459" spans="1:18" ht="12.75">
      <c r="A459" s="5"/>
      <c r="B459" s="5"/>
      <c r="C459" s="14"/>
      <c r="D459" s="14"/>
      <c r="E459" s="14"/>
      <c r="F459" s="14"/>
      <c r="G459" s="1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</row>
    <row r="460" spans="1:18" ht="12.75">
      <c r="A460" s="5"/>
      <c r="B460" s="5"/>
      <c r="C460" s="14"/>
      <c r="D460" s="14"/>
      <c r="E460" s="14"/>
      <c r="F460" s="14"/>
      <c r="G460" s="1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</row>
    <row r="461" spans="1:18" ht="12.75">
      <c r="A461" s="5"/>
      <c r="B461" s="5"/>
      <c r="C461" s="14"/>
      <c r="D461" s="14"/>
      <c r="E461" s="14"/>
      <c r="F461" s="14"/>
      <c r="G461" s="1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</row>
    <row r="462" spans="1:18" ht="12.75">
      <c r="A462" s="5"/>
      <c r="B462" s="5"/>
      <c r="C462" s="14"/>
      <c r="D462" s="14"/>
      <c r="E462" s="14"/>
      <c r="F462" s="14"/>
      <c r="G462" s="1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</row>
    <row r="463" spans="1:18" ht="12.75">
      <c r="A463" s="5"/>
      <c r="B463" s="5"/>
      <c r="C463" s="14"/>
      <c r="D463" s="14"/>
      <c r="E463" s="14"/>
      <c r="F463" s="14"/>
      <c r="G463" s="1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</row>
    <row r="464" spans="1:18" ht="12.75">
      <c r="A464" s="5"/>
      <c r="B464" s="5"/>
      <c r="C464" s="14"/>
      <c r="D464" s="14"/>
      <c r="E464" s="14"/>
      <c r="F464" s="14"/>
      <c r="G464" s="1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</row>
    <row r="465" spans="1:18" ht="12.75">
      <c r="A465" s="5"/>
      <c r="B465" s="5"/>
      <c r="C465" s="14"/>
      <c r="D465" s="14"/>
      <c r="E465" s="14"/>
      <c r="F465" s="14"/>
      <c r="G465" s="1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</row>
    <row r="466" spans="1:18" ht="12.75">
      <c r="A466" s="5"/>
      <c r="B466" s="5"/>
      <c r="C466" s="14"/>
      <c r="D466" s="14"/>
      <c r="E466" s="14"/>
      <c r="F466" s="14"/>
      <c r="G466" s="1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</row>
    <row r="467" spans="1:18" ht="12.75">
      <c r="A467" s="5"/>
      <c r="B467" s="5"/>
      <c r="C467" s="14"/>
      <c r="D467" s="14"/>
      <c r="E467" s="14"/>
      <c r="F467" s="14"/>
      <c r="G467" s="1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</row>
    <row r="468" spans="1:18" ht="12.75">
      <c r="A468" s="5"/>
      <c r="B468" s="5"/>
      <c r="C468" s="14"/>
      <c r="D468" s="14"/>
      <c r="E468" s="14"/>
      <c r="F468" s="14"/>
      <c r="G468" s="1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</row>
    <row r="469" spans="1:18" ht="12.75">
      <c r="A469" s="5"/>
      <c r="B469" s="5"/>
      <c r="C469" s="14"/>
      <c r="D469" s="14"/>
      <c r="E469" s="14"/>
      <c r="F469" s="14"/>
      <c r="G469" s="1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</row>
    <row r="470" spans="1:18" ht="12.75">
      <c r="A470" s="5"/>
      <c r="B470" s="5"/>
      <c r="C470" s="14"/>
      <c r="D470" s="14"/>
      <c r="E470" s="14"/>
      <c r="F470" s="14"/>
      <c r="G470" s="1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1:18" ht="12.75">
      <c r="A471" s="5"/>
      <c r="B471" s="5"/>
      <c r="C471" s="14"/>
      <c r="D471" s="14"/>
      <c r="E471" s="14"/>
      <c r="F471" s="14"/>
      <c r="G471" s="1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</row>
    <row r="472" spans="1:18" ht="12.75">
      <c r="A472" s="5"/>
      <c r="B472" s="5"/>
      <c r="C472" s="14"/>
      <c r="D472" s="14"/>
      <c r="E472" s="14"/>
      <c r="F472" s="14"/>
      <c r="G472" s="1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</row>
    <row r="473" spans="1:18" ht="12.75">
      <c r="A473" s="5"/>
      <c r="B473" s="5"/>
      <c r="C473" s="14"/>
      <c r="D473" s="14"/>
      <c r="E473" s="14"/>
      <c r="F473" s="14"/>
      <c r="G473" s="1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</row>
    <row r="474" spans="1:18" ht="12.75">
      <c r="A474" s="5"/>
      <c r="B474" s="5"/>
      <c r="C474" s="14"/>
      <c r="D474" s="14"/>
      <c r="E474" s="14"/>
      <c r="F474" s="14"/>
      <c r="G474" s="1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</row>
    <row r="475" spans="1:18" ht="12.75">
      <c r="A475" s="5"/>
      <c r="B475" s="5"/>
      <c r="C475" s="14"/>
      <c r="D475" s="14"/>
      <c r="E475" s="14"/>
      <c r="F475" s="14"/>
      <c r="G475" s="1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</row>
    <row r="476" spans="1:18" ht="12.75">
      <c r="A476" s="5"/>
      <c r="B476" s="5"/>
      <c r="C476" s="14"/>
      <c r="D476" s="14"/>
      <c r="E476" s="14"/>
      <c r="F476" s="14"/>
      <c r="G476" s="1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</row>
    <row r="477" spans="1:18" ht="12.75">
      <c r="A477" s="5"/>
      <c r="B477" s="5"/>
      <c r="C477" s="14"/>
      <c r="D477" s="14"/>
      <c r="E477" s="14"/>
      <c r="F477" s="14"/>
      <c r="G477" s="1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</row>
    <row r="478" spans="1:18" ht="12.75">
      <c r="A478" s="5"/>
      <c r="B478" s="5"/>
      <c r="C478" s="14"/>
      <c r="D478" s="14"/>
      <c r="E478" s="14"/>
      <c r="F478" s="14"/>
      <c r="G478" s="1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</row>
    <row r="479" spans="1:18" ht="12.75">
      <c r="A479" s="5"/>
      <c r="B479" s="5"/>
      <c r="C479" s="14"/>
      <c r="D479" s="14"/>
      <c r="E479" s="14"/>
      <c r="F479" s="14"/>
      <c r="G479" s="1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</row>
    <row r="480" spans="1:18" ht="12.75">
      <c r="A480" s="5"/>
      <c r="B480" s="5"/>
      <c r="C480" s="14"/>
      <c r="D480" s="14"/>
      <c r="E480" s="14"/>
      <c r="F480" s="14"/>
      <c r="G480" s="1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</row>
    <row r="481" spans="1:18" ht="12.75">
      <c r="A481" s="5"/>
      <c r="B481" s="5"/>
      <c r="C481" s="14"/>
      <c r="D481" s="14"/>
      <c r="E481" s="14"/>
      <c r="F481" s="14"/>
      <c r="G481" s="1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</row>
    <row r="482" spans="1:18" ht="12.75">
      <c r="A482" s="5"/>
      <c r="B482" s="5"/>
      <c r="C482" s="14"/>
      <c r="D482" s="14"/>
      <c r="E482" s="14"/>
      <c r="F482" s="14"/>
      <c r="G482" s="1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</row>
    <row r="483" spans="1:18" ht="12.75">
      <c r="A483" s="5"/>
      <c r="B483" s="5"/>
      <c r="C483" s="14"/>
      <c r="D483" s="14"/>
      <c r="E483" s="14"/>
      <c r="F483" s="14"/>
      <c r="G483" s="1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</row>
    <row r="484" spans="1:18" ht="12.75">
      <c r="A484" s="5"/>
      <c r="B484" s="5"/>
      <c r="C484" s="14"/>
      <c r="D484" s="14"/>
      <c r="E484" s="14"/>
      <c r="F484" s="14"/>
      <c r="G484" s="1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</row>
    <row r="485" spans="1:18" ht="12.75">
      <c r="A485" s="5"/>
      <c r="B485" s="5"/>
      <c r="C485" s="14"/>
      <c r="D485" s="14"/>
      <c r="E485" s="14"/>
      <c r="F485" s="14"/>
      <c r="G485" s="1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</row>
    <row r="486" spans="1:18" ht="12.75">
      <c r="A486" s="5"/>
      <c r="B486" s="5"/>
      <c r="C486" s="14"/>
      <c r="D486" s="14"/>
      <c r="E486" s="14"/>
      <c r="F486" s="14"/>
      <c r="G486" s="1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1:18" ht="12.75">
      <c r="A487" s="5"/>
      <c r="B487" s="5"/>
      <c r="C487" s="14"/>
      <c r="D487" s="14"/>
      <c r="E487" s="14"/>
      <c r="F487" s="14"/>
      <c r="G487" s="1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</row>
    <row r="488" spans="1:18" ht="12.75">
      <c r="A488" s="5"/>
      <c r="B488" s="5"/>
      <c r="C488" s="14"/>
      <c r="D488" s="14"/>
      <c r="E488" s="14"/>
      <c r="F488" s="14"/>
      <c r="G488" s="1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</row>
    <row r="489" spans="1:18" ht="12.75">
      <c r="A489" s="5"/>
      <c r="B489" s="5"/>
      <c r="C489" s="14"/>
      <c r="D489" s="14"/>
      <c r="E489" s="14"/>
      <c r="F489" s="14"/>
      <c r="G489" s="1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</row>
    <row r="490" spans="1:18" ht="12.75">
      <c r="A490" s="5"/>
      <c r="B490" s="5"/>
      <c r="C490" s="14"/>
      <c r="D490" s="14"/>
      <c r="E490" s="14"/>
      <c r="F490" s="14"/>
      <c r="G490" s="1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</row>
    <row r="491" spans="1:18" ht="12.75">
      <c r="A491" s="5"/>
      <c r="B491" s="5"/>
      <c r="C491" s="14"/>
      <c r="D491" s="14"/>
      <c r="E491" s="14"/>
      <c r="F491" s="14"/>
      <c r="G491" s="1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</row>
    <row r="492" spans="1:18" ht="12.75">
      <c r="A492" s="5"/>
      <c r="B492" s="5"/>
      <c r="C492" s="14"/>
      <c r="D492" s="14"/>
      <c r="E492" s="14"/>
      <c r="F492" s="14"/>
      <c r="G492" s="1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</row>
    <row r="493" spans="1:18" ht="12.75">
      <c r="A493" s="5"/>
      <c r="B493" s="5"/>
      <c r="C493" s="14"/>
      <c r="D493" s="14"/>
      <c r="E493" s="14"/>
      <c r="F493" s="14"/>
      <c r="G493" s="1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</row>
    <row r="494" spans="1:18" ht="12.75">
      <c r="A494" s="5"/>
      <c r="B494" s="5"/>
      <c r="C494" s="14"/>
      <c r="D494" s="14"/>
      <c r="E494" s="14"/>
      <c r="F494" s="14"/>
      <c r="G494" s="1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</row>
    <row r="495" spans="1:18" ht="12.75">
      <c r="A495" s="5"/>
      <c r="B495" s="5"/>
      <c r="C495" s="14"/>
      <c r="D495" s="14"/>
      <c r="E495" s="14"/>
      <c r="F495" s="14"/>
      <c r="G495" s="1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</row>
    <row r="496" spans="1:18" ht="12.75">
      <c r="A496" s="5"/>
      <c r="B496" s="5"/>
      <c r="C496" s="14"/>
      <c r="D496" s="14"/>
      <c r="E496" s="14"/>
      <c r="F496" s="14"/>
      <c r="G496" s="1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</row>
    <row r="497" spans="1:18" ht="12.75">
      <c r="A497" s="5"/>
      <c r="B497" s="5"/>
      <c r="C497" s="14"/>
      <c r="D497" s="14"/>
      <c r="E497" s="14"/>
      <c r="F497" s="14"/>
      <c r="G497" s="1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</row>
    <row r="498" spans="1:18" ht="12.75">
      <c r="A498" s="5"/>
      <c r="B498" s="5"/>
      <c r="C498" s="14"/>
      <c r="D498" s="14"/>
      <c r="E498" s="14"/>
      <c r="F498" s="14"/>
      <c r="G498" s="1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</row>
    <row r="499" spans="1:18" ht="12.75">
      <c r="A499" s="5"/>
      <c r="B499" s="5"/>
      <c r="C499" s="14"/>
      <c r="D499" s="14"/>
      <c r="E499" s="14"/>
      <c r="F499" s="14"/>
      <c r="G499" s="1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</row>
    <row r="500" spans="1:18" ht="12.75">
      <c r="A500" s="5"/>
      <c r="B500" s="5"/>
      <c r="C500" s="14"/>
      <c r="D500" s="14"/>
      <c r="E500" s="14"/>
      <c r="F500" s="14"/>
      <c r="G500" s="1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</row>
    <row r="501" spans="1:18" ht="12.75">
      <c r="A501" s="5"/>
      <c r="B501" s="5"/>
      <c r="C501" s="14"/>
      <c r="D501" s="14"/>
      <c r="E501" s="14"/>
      <c r="F501" s="14"/>
      <c r="G501" s="1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1:18" ht="12.75">
      <c r="A502" s="5"/>
      <c r="B502" s="5"/>
      <c r="C502" s="14"/>
      <c r="D502" s="14"/>
      <c r="E502" s="14"/>
      <c r="F502" s="14"/>
      <c r="G502" s="1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</row>
    <row r="503" spans="1:18" ht="12.75">
      <c r="A503" s="5"/>
      <c r="B503" s="5"/>
      <c r="C503" s="14"/>
      <c r="D503" s="14"/>
      <c r="E503" s="14"/>
      <c r="F503" s="14"/>
      <c r="G503" s="1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</row>
    <row r="504" spans="1:18" ht="12.75">
      <c r="A504" s="5"/>
      <c r="B504" s="5"/>
      <c r="C504" s="14"/>
      <c r="D504" s="14"/>
      <c r="E504" s="14"/>
      <c r="F504" s="14"/>
      <c r="G504" s="1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</row>
    <row r="505" spans="1:18" ht="12.75">
      <c r="A505" s="5"/>
      <c r="B505" s="5"/>
      <c r="C505" s="14"/>
      <c r="D505" s="14"/>
      <c r="E505" s="14"/>
      <c r="F505" s="14"/>
      <c r="G505" s="1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</row>
    <row r="506" spans="1:18" ht="12.75">
      <c r="A506" s="5"/>
      <c r="B506" s="5"/>
      <c r="C506" s="14"/>
      <c r="D506" s="14"/>
      <c r="E506" s="14"/>
      <c r="F506" s="14"/>
      <c r="G506" s="1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</row>
    <row r="507" spans="1:18" ht="12.75">
      <c r="A507" s="5"/>
      <c r="B507" s="5"/>
      <c r="C507" s="14"/>
      <c r="D507" s="14"/>
      <c r="E507" s="14"/>
      <c r="F507" s="14"/>
      <c r="G507" s="1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</row>
    <row r="508" spans="1:18" ht="12.75">
      <c r="A508" s="5"/>
      <c r="B508" s="5"/>
      <c r="C508" s="14"/>
      <c r="D508" s="14"/>
      <c r="E508" s="14"/>
      <c r="F508" s="14"/>
      <c r="G508" s="1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</row>
    <row r="509" spans="1:18" ht="12.75">
      <c r="A509" s="5"/>
      <c r="B509" s="5"/>
      <c r="C509" s="14"/>
      <c r="D509" s="14"/>
      <c r="E509" s="14"/>
      <c r="F509" s="14"/>
      <c r="G509" s="1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</row>
    <row r="510" spans="1:18" ht="12.75">
      <c r="A510" s="5"/>
      <c r="B510" s="5"/>
      <c r="C510" s="14"/>
      <c r="D510" s="14"/>
      <c r="E510" s="14"/>
      <c r="F510" s="14"/>
      <c r="G510" s="1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</row>
    <row r="511" spans="1:18" ht="12.75">
      <c r="A511" s="5"/>
      <c r="B511" s="5"/>
      <c r="C511" s="14"/>
      <c r="D511" s="14"/>
      <c r="E511" s="14"/>
      <c r="F511" s="14"/>
      <c r="G511" s="1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</row>
    <row r="512" spans="1:18" ht="12.75">
      <c r="A512" s="5"/>
      <c r="B512" s="5"/>
      <c r="C512" s="14"/>
      <c r="D512" s="14"/>
      <c r="E512" s="14"/>
      <c r="F512" s="14"/>
      <c r="G512" s="1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</row>
    <row r="513" spans="1:18" ht="12.75">
      <c r="A513" s="5"/>
      <c r="B513" s="5"/>
      <c r="C513" s="14"/>
      <c r="D513" s="14"/>
      <c r="E513" s="14"/>
      <c r="F513" s="14"/>
      <c r="G513" s="1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</row>
    <row r="514" spans="1:18" ht="12.75">
      <c r="A514" s="5"/>
      <c r="B514" s="5"/>
      <c r="C514" s="14"/>
      <c r="D514" s="14"/>
      <c r="E514" s="14"/>
      <c r="F514" s="14"/>
      <c r="G514" s="1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</row>
    <row r="515" spans="1:18" ht="12.75">
      <c r="A515" s="5"/>
      <c r="B515" s="5"/>
      <c r="C515" s="14"/>
      <c r="D515" s="14"/>
      <c r="E515" s="14"/>
      <c r="F515" s="14"/>
      <c r="G515" s="1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</row>
    <row r="516" spans="1:18" ht="12.75">
      <c r="A516" s="5"/>
      <c r="B516" s="5"/>
      <c r="C516" s="14"/>
      <c r="D516" s="14"/>
      <c r="E516" s="14"/>
      <c r="F516" s="14"/>
      <c r="G516" s="1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</row>
    <row r="517" spans="1:18" ht="12.75">
      <c r="A517" s="5"/>
      <c r="B517" s="5"/>
      <c r="C517" s="14"/>
      <c r="D517" s="14"/>
      <c r="E517" s="14"/>
      <c r="F517" s="14"/>
      <c r="G517" s="1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1:18" ht="12.75">
      <c r="A518" s="5"/>
      <c r="B518" s="5"/>
      <c r="C518" s="14"/>
      <c r="D518" s="14"/>
      <c r="E518" s="14"/>
      <c r="F518" s="14"/>
      <c r="G518" s="1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</row>
    <row r="519" spans="1:18" ht="12.75">
      <c r="A519" s="5"/>
      <c r="B519" s="5"/>
      <c r="C519" s="14"/>
      <c r="D519" s="14"/>
      <c r="E519" s="14"/>
      <c r="F519" s="14"/>
      <c r="G519" s="1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</row>
    <row r="520" spans="1:18" ht="12.75">
      <c r="A520" s="5"/>
      <c r="B520" s="5"/>
      <c r="C520" s="14"/>
      <c r="D520" s="14"/>
      <c r="E520" s="14"/>
      <c r="F520" s="14"/>
      <c r="G520" s="1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</row>
    <row r="521" spans="1:18" ht="12.75">
      <c r="A521" s="5"/>
      <c r="B521" s="5"/>
      <c r="C521" s="14"/>
      <c r="D521" s="14"/>
      <c r="E521" s="14"/>
      <c r="F521" s="14"/>
      <c r="G521" s="1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</row>
    <row r="522" spans="1:18" ht="12.75">
      <c r="A522" s="5"/>
      <c r="B522" s="5"/>
      <c r="C522" s="14"/>
      <c r="D522" s="14"/>
      <c r="E522" s="14"/>
      <c r="F522" s="14"/>
      <c r="G522" s="1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</row>
    <row r="523" spans="1:18" ht="12.75">
      <c r="A523" s="5"/>
      <c r="B523" s="5"/>
      <c r="C523" s="14"/>
      <c r="D523" s="14"/>
      <c r="E523" s="14"/>
      <c r="F523" s="14"/>
      <c r="G523" s="1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</row>
    <row r="524" spans="1:18" ht="12.75">
      <c r="A524" s="5"/>
      <c r="B524" s="5"/>
      <c r="C524" s="14"/>
      <c r="D524" s="14"/>
      <c r="E524" s="14"/>
      <c r="F524" s="14"/>
      <c r="G524" s="1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</row>
    <row r="525" spans="1:18" ht="12.75">
      <c r="A525" s="5"/>
      <c r="B525" s="5"/>
      <c r="C525" s="14"/>
      <c r="D525" s="14"/>
      <c r="E525" s="14"/>
      <c r="F525" s="14"/>
      <c r="G525" s="1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</row>
    <row r="526" spans="1:18" ht="12.75">
      <c r="A526" s="5"/>
      <c r="B526" s="5"/>
      <c r="C526" s="14"/>
      <c r="D526" s="14"/>
      <c r="E526" s="14"/>
      <c r="F526" s="14"/>
      <c r="G526" s="1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</row>
    <row r="527" spans="1:18" ht="12.75">
      <c r="A527" s="5"/>
      <c r="B527" s="5"/>
      <c r="C527" s="14"/>
      <c r="D527" s="14"/>
      <c r="E527" s="14"/>
      <c r="F527" s="14"/>
      <c r="G527" s="1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</row>
    <row r="528" spans="1:18" ht="12.75">
      <c r="A528" s="5"/>
      <c r="B528" s="5"/>
      <c r="C528" s="14"/>
      <c r="D528" s="14"/>
      <c r="E528" s="14"/>
      <c r="F528" s="14"/>
      <c r="G528" s="1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</row>
    <row r="529" spans="1:18" ht="12.75">
      <c r="A529" s="5"/>
      <c r="B529" s="5"/>
      <c r="C529" s="14"/>
      <c r="D529" s="14"/>
      <c r="E529" s="14"/>
      <c r="F529" s="14"/>
      <c r="G529" s="1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</row>
    <row r="530" spans="1:18" ht="12.75">
      <c r="A530" s="5"/>
      <c r="B530" s="5"/>
      <c r="C530" s="14"/>
      <c r="D530" s="14"/>
      <c r="E530" s="14"/>
      <c r="F530" s="14"/>
      <c r="G530" s="1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</row>
    <row r="531" spans="1:18" ht="12.75">
      <c r="A531" s="5"/>
      <c r="B531" s="5"/>
      <c r="C531" s="14"/>
      <c r="D531" s="14"/>
      <c r="E531" s="14"/>
      <c r="F531" s="14"/>
      <c r="G531" s="1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</row>
    <row r="532" spans="1:18" ht="12.75">
      <c r="A532" s="5"/>
      <c r="B532" s="5"/>
      <c r="C532" s="14"/>
      <c r="D532" s="14"/>
      <c r="E532" s="14"/>
      <c r="F532" s="14"/>
      <c r="G532" s="1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1:18" ht="12.75">
      <c r="A533" s="5"/>
      <c r="B533" s="5"/>
      <c r="C533" s="14"/>
      <c r="D533" s="14"/>
      <c r="E533" s="14"/>
      <c r="F533" s="14"/>
      <c r="G533" s="1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</row>
    <row r="534" spans="1:18" ht="12.75">
      <c r="A534" s="5"/>
      <c r="B534" s="5"/>
      <c r="C534" s="14"/>
      <c r="D534" s="14"/>
      <c r="E534" s="14"/>
      <c r="F534" s="14"/>
      <c r="G534" s="1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</row>
    <row r="535" spans="1:18" ht="12.75">
      <c r="A535" s="5"/>
      <c r="B535" s="5"/>
      <c r="C535" s="14"/>
      <c r="D535" s="14"/>
      <c r="E535" s="14"/>
      <c r="F535" s="14"/>
      <c r="G535" s="1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</row>
    <row r="536" spans="1:18" ht="12.75">
      <c r="A536" s="5"/>
      <c r="B536" s="5"/>
      <c r="C536" s="14"/>
      <c r="D536" s="14"/>
      <c r="E536" s="14"/>
      <c r="F536" s="14"/>
      <c r="G536" s="1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</row>
    <row r="537" spans="1:18" ht="12.75">
      <c r="A537" s="5"/>
      <c r="B537" s="5"/>
      <c r="C537" s="14"/>
      <c r="D537" s="14"/>
      <c r="E537" s="14"/>
      <c r="F537" s="14"/>
      <c r="G537" s="1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</row>
    <row r="538" spans="1:18" ht="12.75">
      <c r="A538" s="5"/>
      <c r="B538" s="5"/>
      <c r="C538" s="14"/>
      <c r="D538" s="14"/>
      <c r="E538" s="14"/>
      <c r="F538" s="14"/>
      <c r="G538" s="1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</row>
    <row r="539" spans="1:18" ht="12.75">
      <c r="A539" s="5"/>
      <c r="B539" s="5"/>
      <c r="C539" s="14"/>
      <c r="D539" s="14"/>
      <c r="E539" s="14"/>
      <c r="F539" s="14"/>
      <c r="G539" s="1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</row>
    <row r="540" spans="1:18" ht="12.75">
      <c r="A540" s="5"/>
      <c r="B540" s="5"/>
      <c r="C540" s="14"/>
      <c r="D540" s="14"/>
      <c r="E540" s="14"/>
      <c r="F540" s="14"/>
      <c r="G540" s="1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</row>
    <row r="541" spans="1:18" ht="12.75">
      <c r="A541" s="5"/>
      <c r="B541" s="5"/>
      <c r="C541" s="14"/>
      <c r="D541" s="14"/>
      <c r="E541" s="14"/>
      <c r="F541" s="14"/>
      <c r="G541" s="1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</row>
    <row r="542" spans="1:18" ht="12.75">
      <c r="A542" s="5"/>
      <c r="B542" s="5"/>
      <c r="C542" s="14"/>
      <c r="D542" s="14"/>
      <c r="E542" s="14"/>
      <c r="F542" s="14"/>
      <c r="G542" s="1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</row>
    <row r="543" spans="1:18" ht="12.75">
      <c r="A543" s="5"/>
      <c r="B543" s="5"/>
      <c r="C543" s="14"/>
      <c r="D543" s="14"/>
      <c r="E543" s="14"/>
      <c r="F543" s="14"/>
      <c r="G543" s="1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</row>
    <row r="544" spans="1:18" ht="12.75">
      <c r="A544" s="5"/>
      <c r="B544" s="5"/>
      <c r="C544" s="14"/>
      <c r="D544" s="14"/>
      <c r="E544" s="14"/>
      <c r="F544" s="14"/>
      <c r="G544" s="1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</row>
    <row r="545" spans="1:18" ht="12.75">
      <c r="A545" s="5"/>
      <c r="B545" s="5"/>
      <c r="C545" s="14"/>
      <c r="D545" s="14"/>
      <c r="E545" s="14"/>
      <c r="F545" s="14"/>
      <c r="G545" s="1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</row>
    <row r="546" spans="1:18" ht="12.75">
      <c r="A546" s="5"/>
      <c r="B546" s="5"/>
      <c r="C546" s="14"/>
      <c r="D546" s="14"/>
      <c r="E546" s="14"/>
      <c r="F546" s="14"/>
      <c r="G546" s="1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</row>
    <row r="547" spans="1:18" ht="12.75">
      <c r="A547" s="5"/>
      <c r="B547" s="5"/>
      <c r="C547" s="14"/>
      <c r="D547" s="14"/>
      <c r="E547" s="14"/>
      <c r="F547" s="14"/>
      <c r="G547" s="1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</row>
    <row r="548" spans="1:18" ht="12.75">
      <c r="A548" s="5"/>
      <c r="B548" s="5"/>
      <c r="C548" s="14"/>
      <c r="D548" s="14"/>
      <c r="E548" s="14"/>
      <c r="F548" s="14"/>
      <c r="G548" s="1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1:18" ht="12.75">
      <c r="A549" s="5"/>
      <c r="B549" s="5"/>
      <c r="C549" s="14"/>
      <c r="D549" s="14"/>
      <c r="E549" s="14"/>
      <c r="F549" s="14"/>
      <c r="G549" s="1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</row>
    <row r="550" spans="1:18" ht="12.75">
      <c r="A550" s="5"/>
      <c r="B550" s="5"/>
      <c r="C550" s="14"/>
      <c r="D550" s="14"/>
      <c r="E550" s="14"/>
      <c r="F550" s="14"/>
      <c r="G550" s="1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</row>
    <row r="551" spans="1:18" ht="12.75">
      <c r="A551" s="5"/>
      <c r="B551" s="5"/>
      <c r="C551" s="14"/>
      <c r="D551" s="14"/>
      <c r="E551" s="14"/>
      <c r="F551" s="14"/>
      <c r="G551" s="1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</row>
    <row r="552" spans="1:18" ht="12.75">
      <c r="A552" s="5"/>
      <c r="B552" s="5"/>
      <c r="C552" s="14"/>
      <c r="D552" s="14"/>
      <c r="E552" s="14"/>
      <c r="F552" s="14"/>
      <c r="G552" s="1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</row>
    <row r="553" spans="1:18" ht="12.75">
      <c r="A553" s="5"/>
      <c r="B553" s="5"/>
      <c r="C553" s="14"/>
      <c r="D553" s="14"/>
      <c r="E553" s="14"/>
      <c r="F553" s="14"/>
      <c r="G553" s="1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</row>
    <row r="554" spans="1:18" ht="12.75">
      <c r="A554" s="5"/>
      <c r="B554" s="5"/>
      <c r="C554" s="14"/>
      <c r="D554" s="14"/>
      <c r="E554" s="14"/>
      <c r="F554" s="14"/>
      <c r="G554" s="1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</row>
    <row r="555" spans="1:18" ht="12.75">
      <c r="A555" s="5"/>
      <c r="B555" s="5"/>
      <c r="C555" s="14"/>
      <c r="D555" s="14"/>
      <c r="E555" s="14"/>
      <c r="F555" s="14"/>
      <c r="G555" s="1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</row>
    <row r="556" spans="1:18" ht="12.75">
      <c r="A556" s="5"/>
      <c r="B556" s="5"/>
      <c r="C556" s="14"/>
      <c r="D556" s="14"/>
      <c r="E556" s="14"/>
      <c r="F556" s="14"/>
      <c r="G556" s="1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</row>
    <row r="557" spans="1:18" ht="12.75">
      <c r="A557" s="5"/>
      <c r="B557" s="5"/>
      <c r="C557" s="14"/>
      <c r="D557" s="14"/>
      <c r="E557" s="14"/>
      <c r="F557" s="14"/>
      <c r="G557" s="1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</row>
    <row r="558" spans="1:18" ht="12.75">
      <c r="A558" s="5"/>
      <c r="B558" s="5"/>
      <c r="C558" s="14"/>
      <c r="D558" s="14"/>
      <c r="E558" s="14"/>
      <c r="F558" s="14"/>
      <c r="G558" s="1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</row>
    <row r="559" spans="1:18" ht="12.75">
      <c r="A559" s="5"/>
      <c r="B559" s="5"/>
      <c r="C559" s="14"/>
      <c r="D559" s="14"/>
      <c r="E559" s="14"/>
      <c r="F559" s="14"/>
      <c r="G559" s="1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</row>
    <row r="560" spans="1:18" ht="12.75">
      <c r="A560" s="5"/>
      <c r="B560" s="5"/>
      <c r="C560" s="14"/>
      <c r="D560" s="14"/>
      <c r="E560" s="14"/>
      <c r="F560" s="14"/>
      <c r="G560" s="1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</row>
    <row r="561" spans="1:18" ht="12.75">
      <c r="A561" s="5"/>
      <c r="B561" s="5"/>
      <c r="C561" s="14"/>
      <c r="D561" s="14"/>
      <c r="E561" s="14"/>
      <c r="F561" s="14"/>
      <c r="G561" s="1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</row>
    <row r="562" spans="1:18" ht="12.75">
      <c r="A562" s="5"/>
      <c r="B562" s="5"/>
      <c r="C562" s="14"/>
      <c r="D562" s="14"/>
      <c r="E562" s="14"/>
      <c r="F562" s="14"/>
      <c r="G562" s="1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</row>
    <row r="563" spans="1:18" ht="12.75">
      <c r="A563" s="5"/>
      <c r="B563" s="5"/>
      <c r="C563" s="14"/>
      <c r="D563" s="14"/>
      <c r="E563" s="14"/>
      <c r="F563" s="14"/>
      <c r="G563" s="1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1:18" ht="12.75">
      <c r="A564" s="5"/>
      <c r="B564" s="5"/>
      <c r="C564" s="14"/>
      <c r="D564" s="14"/>
      <c r="E564" s="14"/>
      <c r="F564" s="14"/>
      <c r="G564" s="1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</row>
    <row r="565" spans="1:18" ht="12.75">
      <c r="A565" s="5"/>
      <c r="B565" s="5"/>
      <c r="C565" s="14"/>
      <c r="D565" s="14"/>
      <c r="E565" s="14"/>
      <c r="F565" s="14"/>
      <c r="G565" s="1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</row>
    <row r="566" spans="1:18" ht="12.75">
      <c r="A566" s="5"/>
      <c r="B566" s="5"/>
      <c r="C566" s="14"/>
      <c r="D566" s="14"/>
      <c r="E566" s="14"/>
      <c r="F566" s="14"/>
      <c r="G566" s="1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</row>
    <row r="567" spans="1:18" ht="12.75">
      <c r="A567" s="5"/>
      <c r="B567" s="5"/>
      <c r="C567" s="14"/>
      <c r="D567" s="14"/>
      <c r="E567" s="14"/>
      <c r="F567" s="14"/>
      <c r="G567" s="1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</row>
    <row r="568" spans="1:18" ht="12.75">
      <c r="A568" s="5"/>
      <c r="B568" s="5"/>
      <c r="C568" s="14"/>
      <c r="D568" s="14"/>
      <c r="E568" s="14"/>
      <c r="F568" s="14"/>
      <c r="G568" s="1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</row>
    <row r="569" spans="1:18" ht="12.75">
      <c r="A569" s="5"/>
      <c r="B569" s="5"/>
      <c r="C569" s="14"/>
      <c r="D569" s="14"/>
      <c r="E569" s="14"/>
      <c r="F569" s="14"/>
      <c r="G569" s="1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</row>
    <row r="570" spans="1:18" ht="12.75">
      <c r="A570" s="5"/>
      <c r="B570" s="5"/>
      <c r="C570" s="14"/>
      <c r="D570" s="14"/>
      <c r="E570" s="14"/>
      <c r="F570" s="14"/>
      <c r="G570" s="1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</row>
    <row r="571" spans="1:18" ht="12.75">
      <c r="A571" s="5"/>
      <c r="B571" s="5"/>
      <c r="C571" s="14"/>
      <c r="D571" s="14"/>
      <c r="E571" s="14"/>
      <c r="F571" s="14"/>
      <c r="G571" s="1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</row>
    <row r="572" spans="1:18" ht="12.75">
      <c r="A572" s="5"/>
      <c r="B572" s="5"/>
      <c r="C572" s="14"/>
      <c r="D572" s="14"/>
      <c r="E572" s="14"/>
      <c r="F572" s="14"/>
      <c r="G572" s="1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</row>
    <row r="573" spans="1:18" ht="12.75">
      <c r="A573" s="5"/>
      <c r="B573" s="5"/>
      <c r="C573" s="14"/>
      <c r="D573" s="14"/>
      <c r="E573" s="14"/>
      <c r="F573" s="14"/>
      <c r="G573" s="1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</row>
    <row r="574" spans="1:18" ht="12.75">
      <c r="A574" s="5"/>
      <c r="B574" s="5"/>
      <c r="C574" s="14"/>
      <c r="D574" s="14"/>
      <c r="E574" s="14"/>
      <c r="F574" s="14"/>
      <c r="G574" s="1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</row>
    <row r="575" spans="1:18" ht="12.75">
      <c r="A575" s="5"/>
      <c r="B575" s="5"/>
      <c r="C575" s="14"/>
      <c r="D575" s="14"/>
      <c r="E575" s="14"/>
      <c r="F575" s="14"/>
      <c r="G575" s="1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</row>
    <row r="576" spans="1:18" ht="12.75">
      <c r="A576" s="5"/>
      <c r="B576" s="5"/>
      <c r="C576" s="14"/>
      <c r="D576" s="14"/>
      <c r="E576" s="14"/>
      <c r="F576" s="14"/>
      <c r="G576" s="1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</row>
    <row r="577" spans="1:18" ht="12.75">
      <c r="A577" s="5"/>
      <c r="B577" s="5"/>
      <c r="C577" s="14"/>
      <c r="D577" s="14"/>
      <c r="E577" s="14"/>
      <c r="F577" s="14"/>
      <c r="G577" s="1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</row>
    <row r="578" spans="1:18" ht="12.75">
      <c r="A578" s="5"/>
      <c r="B578" s="5"/>
      <c r="C578" s="14"/>
      <c r="D578" s="14"/>
      <c r="E578" s="14"/>
      <c r="F578" s="14"/>
      <c r="G578" s="1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</row>
    <row r="579" spans="1:18" ht="12.75">
      <c r="A579" s="5"/>
      <c r="B579" s="5"/>
      <c r="C579" s="14"/>
      <c r="D579" s="14"/>
      <c r="E579" s="14"/>
      <c r="F579" s="14"/>
      <c r="G579" s="1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1:18" ht="12.75">
      <c r="A580" s="5"/>
      <c r="B580" s="5"/>
      <c r="C580" s="14"/>
      <c r="D580" s="14"/>
      <c r="E580" s="14"/>
      <c r="F580" s="14"/>
      <c r="G580" s="1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</row>
    <row r="581" spans="1:18" ht="12.75">
      <c r="A581" s="5"/>
      <c r="B581" s="5"/>
      <c r="C581" s="14"/>
      <c r="D581" s="14"/>
      <c r="E581" s="14"/>
      <c r="F581" s="14"/>
      <c r="G581" s="1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</row>
    <row r="582" spans="1:18" ht="12.75">
      <c r="A582" s="5"/>
      <c r="B582" s="5"/>
      <c r="C582" s="14"/>
      <c r="D582" s="14"/>
      <c r="E582" s="14"/>
      <c r="F582" s="14"/>
      <c r="G582" s="1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</row>
    <row r="583" spans="1:18" ht="12.75">
      <c r="A583" s="5"/>
      <c r="B583" s="5"/>
      <c r="C583" s="14"/>
      <c r="D583" s="14"/>
      <c r="E583" s="14"/>
      <c r="F583" s="14"/>
      <c r="G583" s="1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</row>
    <row r="584" spans="1:18" ht="12.75">
      <c r="A584" s="5"/>
      <c r="B584" s="5"/>
      <c r="C584" s="14"/>
      <c r="D584" s="14"/>
      <c r="E584" s="14"/>
      <c r="F584" s="14"/>
      <c r="G584" s="1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</row>
    <row r="585" spans="1:18" ht="12.75">
      <c r="A585" s="5"/>
      <c r="B585" s="5"/>
      <c r="C585" s="14"/>
      <c r="D585" s="14"/>
      <c r="E585" s="14"/>
      <c r="F585" s="14"/>
      <c r="G585" s="1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</row>
    <row r="586" spans="1:18" ht="12.75">
      <c r="A586" s="5"/>
      <c r="B586" s="5"/>
      <c r="C586" s="14"/>
      <c r="D586" s="14"/>
      <c r="E586" s="14"/>
      <c r="F586" s="14"/>
      <c r="G586" s="1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</row>
    <row r="587" spans="1:18" ht="12.75">
      <c r="A587" s="5"/>
      <c r="B587" s="5"/>
      <c r="C587" s="14"/>
      <c r="D587" s="14"/>
      <c r="E587" s="14"/>
      <c r="F587" s="14"/>
      <c r="G587" s="1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</row>
    <row r="588" spans="1:18" ht="12.75">
      <c r="A588" s="5"/>
      <c r="B588" s="5"/>
      <c r="C588" s="14"/>
      <c r="D588" s="14"/>
      <c r="E588" s="14"/>
      <c r="F588" s="14"/>
      <c r="G588" s="1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</row>
    <row r="589" spans="1:18" ht="12.75">
      <c r="A589" s="5"/>
      <c r="B589" s="5"/>
      <c r="C589" s="14"/>
      <c r="D589" s="14"/>
      <c r="E589" s="14"/>
      <c r="F589" s="14"/>
      <c r="G589" s="1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</row>
    <row r="590" spans="1:18" ht="12.75">
      <c r="A590" s="5"/>
      <c r="B590" s="5"/>
      <c r="C590" s="14"/>
      <c r="D590" s="14"/>
      <c r="E590" s="14"/>
      <c r="F590" s="14"/>
      <c r="G590" s="1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</row>
    <row r="591" spans="1:18" ht="12.75">
      <c r="A591" s="5"/>
      <c r="B591" s="5"/>
      <c r="C591" s="14"/>
      <c r="D591" s="14"/>
      <c r="E591" s="14"/>
      <c r="F591" s="14"/>
      <c r="G591" s="1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</row>
    <row r="592" spans="1:18" ht="12.75">
      <c r="A592" s="5"/>
      <c r="B592" s="5"/>
      <c r="C592" s="14"/>
      <c r="D592" s="14"/>
      <c r="E592" s="14"/>
      <c r="F592" s="14"/>
      <c r="G592" s="1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</row>
    <row r="593" spans="1:18" ht="12.75">
      <c r="A593" s="5"/>
      <c r="B593" s="5"/>
      <c r="C593" s="14"/>
      <c r="D593" s="14"/>
      <c r="E593" s="14"/>
      <c r="F593" s="14"/>
      <c r="G593" s="1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</row>
    <row r="594" spans="1:18" ht="12.75">
      <c r="A594" s="5"/>
      <c r="B594" s="5"/>
      <c r="C594" s="14"/>
      <c r="D594" s="14"/>
      <c r="E594" s="14"/>
      <c r="F594" s="14"/>
      <c r="G594" s="1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1:18" ht="12.75">
      <c r="A595" s="5"/>
      <c r="B595" s="5"/>
      <c r="C595" s="14"/>
      <c r="D595" s="14"/>
      <c r="E595" s="14"/>
      <c r="F595" s="14"/>
      <c r="G595" s="1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</row>
    <row r="596" spans="1:18" ht="12.75">
      <c r="A596" s="5"/>
      <c r="B596" s="5"/>
      <c r="C596" s="14"/>
      <c r="D596" s="14"/>
      <c r="E596" s="14"/>
      <c r="F596" s="14"/>
      <c r="G596" s="1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</row>
    <row r="597" spans="1:18" ht="12.75">
      <c r="A597" s="5"/>
      <c r="B597" s="5"/>
      <c r="C597" s="14"/>
      <c r="D597" s="14"/>
      <c r="E597" s="14"/>
      <c r="F597" s="14"/>
      <c r="G597" s="1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</row>
    <row r="598" spans="1:18" ht="12.75">
      <c r="A598" s="5"/>
      <c r="B598" s="5"/>
      <c r="C598" s="14"/>
      <c r="D598" s="14"/>
      <c r="E598" s="14"/>
      <c r="F598" s="14"/>
      <c r="G598" s="1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</row>
    <row r="599" spans="1:18" ht="12.75">
      <c r="A599" s="5"/>
      <c r="B599" s="5"/>
      <c r="C599" s="14"/>
      <c r="D599" s="14"/>
      <c r="E599" s="14"/>
      <c r="F599" s="14"/>
      <c r="G599" s="1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</row>
    <row r="600" spans="1:18" ht="12.75">
      <c r="A600" s="5"/>
      <c r="B600" s="5"/>
      <c r="C600" s="14"/>
      <c r="D600" s="14"/>
      <c r="E600" s="14"/>
      <c r="F600" s="14"/>
      <c r="G600" s="1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</row>
    <row r="601" spans="1:18" ht="12.75">
      <c r="A601" s="5"/>
      <c r="B601" s="5"/>
      <c r="C601" s="14"/>
      <c r="D601" s="14"/>
      <c r="E601" s="14"/>
      <c r="F601" s="14"/>
      <c r="G601" s="1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</row>
    <row r="602" spans="1:18" ht="12.75">
      <c r="A602" s="5"/>
      <c r="B602" s="5"/>
      <c r="C602" s="14"/>
      <c r="D602" s="14"/>
      <c r="E602" s="14"/>
      <c r="F602" s="14"/>
      <c r="G602" s="1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</row>
    <row r="603" spans="1:18" ht="12.75">
      <c r="A603" s="5"/>
      <c r="B603" s="5"/>
      <c r="C603" s="14"/>
      <c r="D603" s="14"/>
      <c r="E603" s="14"/>
      <c r="F603" s="14"/>
      <c r="G603" s="1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</row>
    <row r="604" spans="1:18" ht="12.75">
      <c r="A604" s="5"/>
      <c r="B604" s="5"/>
      <c r="C604" s="14"/>
      <c r="D604" s="14"/>
      <c r="E604" s="14"/>
      <c r="F604" s="14"/>
      <c r="G604" s="1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</row>
    <row r="605" spans="1:18" ht="12.75">
      <c r="A605" s="5"/>
      <c r="B605" s="5"/>
      <c r="C605" s="14"/>
      <c r="D605" s="14"/>
      <c r="E605" s="14"/>
      <c r="F605" s="14"/>
      <c r="G605" s="1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</row>
    <row r="606" spans="1:18" ht="12.75">
      <c r="A606" s="5"/>
      <c r="B606" s="5"/>
      <c r="C606" s="14"/>
      <c r="D606" s="14"/>
      <c r="E606" s="14"/>
      <c r="F606" s="14"/>
      <c r="G606" s="1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</row>
    <row r="607" spans="1:18" ht="12.75">
      <c r="A607" s="5"/>
      <c r="B607" s="5"/>
      <c r="C607" s="14"/>
      <c r="D607" s="14"/>
      <c r="E607" s="14"/>
      <c r="F607" s="14"/>
      <c r="G607" s="1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</row>
    <row r="608" spans="1:18" ht="12.75">
      <c r="A608" s="5"/>
      <c r="B608" s="5"/>
      <c r="C608" s="14"/>
      <c r="D608" s="14"/>
      <c r="E608" s="14"/>
      <c r="F608" s="14"/>
      <c r="G608" s="1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</row>
    <row r="609" spans="1:18" ht="12.75">
      <c r="A609" s="5"/>
      <c r="B609" s="5"/>
      <c r="C609" s="14"/>
      <c r="D609" s="14"/>
      <c r="E609" s="14"/>
      <c r="F609" s="14"/>
      <c r="G609" s="1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</row>
    <row r="610" spans="1:18" ht="12.75">
      <c r="A610" s="5"/>
      <c r="B610" s="5"/>
      <c r="C610" s="14"/>
      <c r="D610" s="14"/>
      <c r="E610" s="14"/>
      <c r="F610" s="14"/>
      <c r="G610" s="1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1:18" ht="12.75">
      <c r="A611" s="5"/>
      <c r="B611" s="5"/>
      <c r="C611" s="14"/>
      <c r="D611" s="14"/>
      <c r="E611" s="14"/>
      <c r="F611" s="14"/>
      <c r="G611" s="1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</row>
    <row r="612" spans="1:18" ht="12.75">
      <c r="A612" s="5"/>
      <c r="B612" s="5"/>
      <c r="C612" s="14"/>
      <c r="D612" s="14"/>
      <c r="E612" s="14"/>
      <c r="F612" s="14"/>
      <c r="G612" s="1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</row>
    <row r="613" spans="1:18" ht="12.75">
      <c r="A613" s="5"/>
      <c r="B613" s="5"/>
      <c r="C613" s="14"/>
      <c r="D613" s="14"/>
      <c r="E613" s="14"/>
      <c r="F613" s="14"/>
      <c r="G613" s="1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</row>
    <row r="614" spans="1:18" ht="12.75">
      <c r="A614" s="5"/>
      <c r="B614" s="5"/>
      <c r="C614" s="14"/>
      <c r="D614" s="14"/>
      <c r="E614" s="14"/>
      <c r="F614" s="14"/>
      <c r="G614" s="1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</row>
    <row r="615" spans="1:18" ht="12.75">
      <c r="A615" s="5"/>
      <c r="B615" s="5"/>
      <c r="C615" s="14"/>
      <c r="D615" s="14"/>
      <c r="E615" s="14"/>
      <c r="F615" s="14"/>
      <c r="G615" s="1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</row>
    <row r="616" spans="1:18" ht="12.75">
      <c r="A616" s="5"/>
      <c r="B616" s="5"/>
      <c r="C616" s="14"/>
      <c r="D616" s="14"/>
      <c r="E616" s="14"/>
      <c r="F616" s="14"/>
      <c r="G616" s="1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</row>
    <row r="617" spans="1:18" ht="12.75">
      <c r="A617" s="5"/>
      <c r="B617" s="5"/>
      <c r="C617" s="14"/>
      <c r="D617" s="14"/>
      <c r="E617" s="14"/>
      <c r="F617" s="14"/>
      <c r="G617" s="1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</row>
    <row r="618" spans="1:18" ht="12.75">
      <c r="A618" s="5"/>
      <c r="B618" s="5"/>
      <c r="C618" s="14"/>
      <c r="D618" s="14"/>
      <c r="E618" s="14"/>
      <c r="F618" s="14"/>
      <c r="G618" s="1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</row>
    <row r="619" spans="1:18" ht="12.75">
      <c r="A619" s="5"/>
      <c r="B619" s="5"/>
      <c r="C619" s="14"/>
      <c r="D619" s="14"/>
      <c r="E619" s="14"/>
      <c r="F619" s="14"/>
      <c r="G619" s="1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</row>
    <row r="620" spans="1:18" ht="12.75">
      <c r="A620" s="5"/>
      <c r="B620" s="5"/>
      <c r="C620" s="14"/>
      <c r="D620" s="14"/>
      <c r="E620" s="14"/>
      <c r="F620" s="14"/>
      <c r="G620" s="1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</row>
    <row r="621" spans="1:18" ht="12.75">
      <c r="A621" s="5"/>
      <c r="B621" s="5"/>
      <c r="C621" s="14"/>
      <c r="D621" s="14"/>
      <c r="E621" s="14"/>
      <c r="F621" s="14"/>
      <c r="G621" s="1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</row>
    <row r="622" spans="1:18" ht="12.75">
      <c r="A622" s="5"/>
      <c r="B622" s="5"/>
      <c r="C622" s="14"/>
      <c r="D622" s="14"/>
      <c r="E622" s="14"/>
      <c r="F622" s="14"/>
      <c r="G622" s="1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</row>
    <row r="623" spans="1:18" ht="12.75">
      <c r="A623" s="5"/>
      <c r="B623" s="5"/>
      <c r="C623" s="14"/>
      <c r="D623" s="14"/>
      <c r="E623" s="14"/>
      <c r="F623" s="14"/>
      <c r="G623" s="1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</row>
    <row r="624" spans="1:18" ht="12.75">
      <c r="A624" s="5"/>
      <c r="B624" s="5"/>
      <c r="C624" s="14"/>
      <c r="D624" s="14"/>
      <c r="E624" s="14"/>
      <c r="F624" s="14"/>
      <c r="G624" s="1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</row>
    <row r="625" spans="1:18" ht="12.75">
      <c r="A625" s="5"/>
      <c r="B625" s="5"/>
      <c r="C625" s="14"/>
      <c r="D625" s="14"/>
      <c r="E625" s="14"/>
      <c r="F625" s="14"/>
      <c r="G625" s="1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1:18" ht="12.75">
      <c r="A626" s="5"/>
      <c r="B626" s="5"/>
      <c r="C626" s="14"/>
      <c r="D626" s="14"/>
      <c r="E626" s="14"/>
      <c r="F626" s="14"/>
      <c r="G626" s="1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</row>
    <row r="627" spans="1:18" ht="12.75">
      <c r="A627" s="5"/>
      <c r="B627" s="5"/>
      <c r="C627" s="14"/>
      <c r="D627" s="14"/>
      <c r="E627" s="14"/>
      <c r="F627" s="14"/>
      <c r="G627" s="1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</row>
    <row r="628" spans="1:18" ht="12.75">
      <c r="A628" s="5"/>
      <c r="B628" s="5"/>
      <c r="C628" s="14"/>
      <c r="D628" s="14"/>
      <c r="E628" s="14"/>
      <c r="F628" s="14"/>
      <c r="G628" s="1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</row>
    <row r="629" spans="1:18" ht="12.75">
      <c r="A629" s="5"/>
      <c r="B629" s="5"/>
      <c r="C629" s="14"/>
      <c r="D629" s="14"/>
      <c r="E629" s="14"/>
      <c r="F629" s="14"/>
      <c r="G629" s="1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</row>
    <row r="630" spans="1:18" ht="12.75">
      <c r="A630" s="5"/>
      <c r="B630" s="5"/>
      <c r="C630" s="14"/>
      <c r="D630" s="14"/>
      <c r="E630" s="14"/>
      <c r="F630" s="14"/>
      <c r="G630" s="1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</row>
    <row r="631" spans="1:18" ht="12.75">
      <c r="A631" s="5"/>
      <c r="B631" s="5"/>
      <c r="C631" s="14"/>
      <c r="D631" s="14"/>
      <c r="E631" s="14"/>
      <c r="F631" s="14"/>
      <c r="G631" s="1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</row>
    <row r="632" spans="1:18" ht="12.75">
      <c r="A632" s="5"/>
      <c r="B632" s="5"/>
      <c r="C632" s="14"/>
      <c r="D632" s="14"/>
      <c r="E632" s="14"/>
      <c r="F632" s="14"/>
      <c r="G632" s="1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</row>
    <row r="633" spans="1:18" ht="12.75">
      <c r="A633" s="5"/>
      <c r="B633" s="5"/>
      <c r="C633" s="14"/>
      <c r="D633" s="14"/>
      <c r="E633" s="14"/>
      <c r="F633" s="14"/>
      <c r="G633" s="1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</row>
    <row r="634" spans="1:18" ht="12.75">
      <c r="A634" s="5"/>
      <c r="B634" s="5"/>
      <c r="C634" s="14"/>
      <c r="D634" s="14"/>
      <c r="E634" s="14"/>
      <c r="F634" s="14"/>
      <c r="G634" s="1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</row>
    <row r="635" spans="1:18" ht="12.75">
      <c r="A635" s="5"/>
      <c r="B635" s="5"/>
      <c r="C635" s="14"/>
      <c r="D635" s="14"/>
      <c r="E635" s="14"/>
      <c r="F635" s="14"/>
      <c r="G635" s="1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</row>
    <row r="636" spans="1:18" ht="12.75">
      <c r="A636" s="5"/>
      <c r="B636" s="5"/>
      <c r="C636" s="14"/>
      <c r="D636" s="14"/>
      <c r="E636" s="14"/>
      <c r="F636" s="14"/>
      <c r="G636" s="1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</row>
    <row r="637" spans="1:18" ht="12.75">
      <c r="A637" s="5"/>
      <c r="B637" s="5"/>
      <c r="C637" s="14"/>
      <c r="D637" s="14"/>
      <c r="E637" s="14"/>
      <c r="F637" s="14"/>
      <c r="G637" s="1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</row>
    <row r="638" spans="1:18" ht="12.75">
      <c r="A638" s="5"/>
      <c r="B638" s="5"/>
      <c r="C638" s="14"/>
      <c r="D638" s="14"/>
      <c r="E638" s="14"/>
      <c r="F638" s="14"/>
      <c r="G638" s="1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</row>
    <row r="639" spans="1:18" ht="12.75">
      <c r="A639" s="5"/>
      <c r="B639" s="5"/>
      <c r="C639" s="14"/>
      <c r="D639" s="14"/>
      <c r="E639" s="14"/>
      <c r="F639" s="14"/>
      <c r="G639" s="1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</row>
    <row r="640" spans="1:18" ht="12.75">
      <c r="A640" s="5"/>
      <c r="B640" s="5"/>
      <c r="C640" s="14"/>
      <c r="D640" s="14"/>
      <c r="E640" s="14"/>
      <c r="F640" s="14"/>
      <c r="G640" s="1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</row>
    <row r="641" spans="1:18" ht="12.75">
      <c r="A641" s="5"/>
      <c r="B641" s="5"/>
      <c r="C641" s="14"/>
      <c r="D641" s="14"/>
      <c r="E641" s="14"/>
      <c r="F641" s="14"/>
      <c r="G641" s="1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1:18" ht="12.75">
      <c r="A642" s="5"/>
      <c r="B642" s="5"/>
      <c r="C642" s="14"/>
      <c r="D642" s="14"/>
      <c r="E642" s="14"/>
      <c r="F642" s="14"/>
      <c r="G642" s="1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</row>
    <row r="643" spans="1:18" ht="12.75">
      <c r="A643" s="5"/>
      <c r="B643" s="5"/>
      <c r="C643" s="14"/>
      <c r="D643" s="14"/>
      <c r="E643" s="14"/>
      <c r="F643" s="14"/>
      <c r="G643" s="1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</row>
    <row r="644" spans="1:18" ht="12.75">
      <c r="A644" s="5"/>
      <c r="B644" s="5"/>
      <c r="C644" s="14"/>
      <c r="D644" s="14"/>
      <c r="E644" s="14"/>
      <c r="F644" s="14"/>
      <c r="G644" s="1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</row>
    <row r="645" spans="1:18" ht="12.75">
      <c r="A645" s="5"/>
      <c r="B645" s="5"/>
      <c r="C645" s="14"/>
      <c r="D645" s="14"/>
      <c r="E645" s="14"/>
      <c r="F645" s="14"/>
      <c r="G645" s="1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</row>
    <row r="646" spans="1:18" ht="12.75">
      <c r="A646" s="5"/>
      <c r="B646" s="5"/>
      <c r="C646" s="14"/>
      <c r="D646" s="14"/>
      <c r="E646" s="14"/>
      <c r="F646" s="14"/>
      <c r="G646" s="1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</row>
    <row r="647" spans="1:18" ht="12.75">
      <c r="A647" s="5"/>
      <c r="B647" s="5"/>
      <c r="C647" s="14"/>
      <c r="D647" s="14"/>
      <c r="E647" s="14"/>
      <c r="F647" s="14"/>
      <c r="G647" s="1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</row>
    <row r="648" spans="1:18" ht="12.75">
      <c r="A648" s="5"/>
      <c r="B648" s="5"/>
      <c r="C648" s="14"/>
      <c r="D648" s="14"/>
      <c r="E648" s="14"/>
      <c r="F648" s="14"/>
      <c r="G648" s="1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</row>
    <row r="649" spans="1:18" ht="12.75">
      <c r="A649" s="5"/>
      <c r="B649" s="5"/>
      <c r="C649" s="14"/>
      <c r="D649" s="14"/>
      <c r="E649" s="14"/>
      <c r="F649" s="14"/>
      <c r="G649" s="1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</row>
    <row r="650" spans="1:18" ht="12.75">
      <c r="A650" s="5"/>
      <c r="B650" s="5"/>
      <c r="C650" s="14"/>
      <c r="D650" s="14"/>
      <c r="E650" s="14"/>
      <c r="F650" s="14"/>
      <c r="G650" s="1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</row>
    <row r="651" spans="1:18" ht="12.75">
      <c r="A651" s="5"/>
      <c r="B651" s="5"/>
      <c r="C651" s="14"/>
      <c r="D651" s="14"/>
      <c r="E651" s="14"/>
      <c r="F651" s="14"/>
      <c r="G651" s="1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</row>
    <row r="652" spans="1:18" ht="12.75">
      <c r="A652" s="5"/>
      <c r="B652" s="5"/>
      <c r="C652" s="14"/>
      <c r="D652" s="14"/>
      <c r="E652" s="14"/>
      <c r="F652" s="14"/>
      <c r="G652" s="1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</row>
    <row r="653" spans="1:18" ht="12.75">
      <c r="A653" s="5"/>
      <c r="B653" s="5"/>
      <c r="C653" s="14"/>
      <c r="D653" s="14"/>
      <c r="E653" s="14"/>
      <c r="F653" s="14"/>
      <c r="G653" s="1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</row>
    <row r="654" spans="1:18" ht="12.75">
      <c r="A654" s="5"/>
      <c r="B654" s="5"/>
      <c r="C654" s="14"/>
      <c r="D654" s="14"/>
      <c r="E654" s="14"/>
      <c r="F654" s="14"/>
      <c r="G654" s="1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</row>
    <row r="655" spans="1:18" ht="12.75">
      <c r="A655" s="5"/>
      <c r="B655" s="5"/>
      <c r="C655" s="14"/>
      <c r="D655" s="14"/>
      <c r="E655" s="14"/>
      <c r="F655" s="14"/>
      <c r="G655" s="1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</row>
    <row r="656" spans="1:18" ht="12.75">
      <c r="A656" s="5"/>
      <c r="B656" s="5"/>
      <c r="C656" s="14"/>
      <c r="D656" s="14"/>
      <c r="E656" s="14"/>
      <c r="F656" s="14"/>
      <c r="G656" s="1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</row>
    <row r="657" spans="1:18" ht="12.75">
      <c r="A657" s="5"/>
      <c r="B657" s="5"/>
      <c r="C657" s="14"/>
      <c r="D657" s="14"/>
      <c r="E657" s="14"/>
      <c r="F657" s="14"/>
      <c r="G657" s="1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</row>
    <row r="658" spans="1:18" ht="12.75">
      <c r="A658" s="5"/>
      <c r="B658" s="5"/>
      <c r="C658" s="14"/>
      <c r="D658" s="14"/>
      <c r="E658" s="14"/>
      <c r="F658" s="14"/>
      <c r="G658" s="1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</row>
    <row r="659" spans="1:18" ht="12.75">
      <c r="A659" s="5"/>
      <c r="B659" s="5"/>
      <c r="C659" s="14"/>
      <c r="D659" s="14"/>
      <c r="E659" s="14"/>
      <c r="F659" s="14"/>
      <c r="G659" s="1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</row>
    <row r="660" spans="1:18" ht="12.75">
      <c r="A660" s="5"/>
      <c r="B660" s="5"/>
      <c r="C660" s="14"/>
      <c r="D660" s="14"/>
      <c r="E660" s="14"/>
      <c r="F660" s="14"/>
      <c r="G660" s="1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</row>
    <row r="661" spans="1:18" ht="12.75">
      <c r="A661" s="5"/>
      <c r="B661" s="5"/>
      <c r="C661" s="14"/>
      <c r="D661" s="14"/>
      <c r="E661" s="14"/>
      <c r="F661" s="14"/>
      <c r="G661" s="1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</row>
    <row r="662" spans="1:18" ht="12.75">
      <c r="A662" s="5"/>
      <c r="B662" s="5"/>
      <c r="C662" s="14"/>
      <c r="D662" s="14"/>
      <c r="E662" s="14"/>
      <c r="F662" s="14"/>
      <c r="G662" s="1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</row>
    <row r="663" spans="1:18" ht="12.75">
      <c r="A663" s="5"/>
      <c r="B663" s="5"/>
      <c r="C663" s="14"/>
      <c r="D663" s="14"/>
      <c r="E663" s="14"/>
      <c r="F663" s="14"/>
      <c r="G663" s="1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</row>
    <row r="664" spans="1:18" ht="12.75">
      <c r="A664" s="5"/>
      <c r="B664" s="5"/>
      <c r="C664" s="14"/>
      <c r="D664" s="14"/>
      <c r="E664" s="14"/>
      <c r="F664" s="14"/>
      <c r="G664" s="1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</row>
    <row r="665" spans="1:18" ht="12.75">
      <c r="A665" s="5"/>
      <c r="B665" s="5"/>
      <c r="C665" s="14"/>
      <c r="D665" s="14"/>
      <c r="E665" s="14"/>
      <c r="F665" s="14"/>
      <c r="G665" s="1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</row>
    <row r="666" spans="1:18" ht="12.75">
      <c r="A666" s="5"/>
      <c r="B666" s="5"/>
      <c r="C666" s="14"/>
      <c r="D666" s="14"/>
      <c r="E666" s="14"/>
      <c r="F666" s="14"/>
      <c r="G666" s="1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</row>
    <row r="667" spans="1:18" ht="12.75">
      <c r="A667" s="5"/>
      <c r="B667" s="5"/>
      <c r="C667" s="14"/>
      <c r="D667" s="14"/>
      <c r="E667" s="14"/>
      <c r="F667" s="14"/>
      <c r="G667" s="1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</row>
    <row r="668" spans="1:18" ht="12.75">
      <c r="A668" s="5"/>
      <c r="B668" s="5"/>
      <c r="C668" s="14"/>
      <c r="D668" s="14"/>
      <c r="E668" s="14"/>
      <c r="F668" s="14"/>
      <c r="G668" s="1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</row>
    <row r="669" spans="1:18" ht="12.75">
      <c r="A669" s="5"/>
      <c r="B669" s="5"/>
      <c r="C669" s="14"/>
      <c r="D669" s="14"/>
      <c r="E669" s="14"/>
      <c r="F669" s="14"/>
      <c r="G669" s="1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</row>
    <row r="670" spans="1:18" ht="12.75">
      <c r="A670" s="5"/>
      <c r="B670" s="5"/>
      <c r="C670" s="14"/>
      <c r="D670" s="14"/>
      <c r="E670" s="14"/>
      <c r="F670" s="14"/>
      <c r="G670" s="1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</row>
    <row r="671" spans="1:18" ht="12.75">
      <c r="A671" s="5"/>
      <c r="B671" s="5"/>
      <c r="C671" s="14"/>
      <c r="D671" s="14"/>
      <c r="E671" s="14"/>
      <c r="F671" s="14"/>
      <c r="G671" s="1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</row>
    <row r="672" spans="1:18" ht="12.75">
      <c r="A672" s="5"/>
      <c r="B672" s="5"/>
      <c r="C672" s="14"/>
      <c r="D672" s="14"/>
      <c r="E672" s="14"/>
      <c r="F672" s="14"/>
      <c r="G672" s="1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</row>
    <row r="673" spans="1:18" ht="12.75">
      <c r="A673" s="5"/>
      <c r="B673" s="5"/>
      <c r="C673" s="14"/>
      <c r="D673" s="14"/>
      <c r="E673" s="14"/>
      <c r="F673" s="14"/>
      <c r="G673" s="1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</row>
    <row r="674" spans="1:18" ht="12.75">
      <c r="A674" s="5"/>
      <c r="B674" s="5"/>
      <c r="C674" s="14"/>
      <c r="D674" s="14"/>
      <c r="E674" s="14"/>
      <c r="F674" s="14"/>
      <c r="G674" s="1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</row>
    <row r="675" spans="1:18" ht="12.75">
      <c r="A675" s="5"/>
      <c r="B675" s="5"/>
      <c r="C675" s="14"/>
      <c r="D675" s="14"/>
      <c r="E675" s="14"/>
      <c r="F675" s="14"/>
      <c r="G675" s="1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</row>
    <row r="676" spans="1:18" ht="12.75">
      <c r="A676" s="5"/>
      <c r="B676" s="5"/>
      <c r="C676" s="14"/>
      <c r="D676" s="14"/>
      <c r="E676" s="14"/>
      <c r="F676" s="14"/>
      <c r="G676" s="1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</row>
    <row r="677" spans="1:18" ht="12.75">
      <c r="A677" s="5"/>
      <c r="B677" s="5"/>
      <c r="C677" s="14"/>
      <c r="D677" s="14"/>
      <c r="E677" s="14"/>
      <c r="F677" s="14"/>
      <c r="G677" s="1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</row>
    <row r="678" spans="1:18" ht="12.75">
      <c r="A678" s="5"/>
      <c r="B678" s="5"/>
      <c r="C678" s="14"/>
      <c r="D678" s="14"/>
      <c r="E678" s="14"/>
      <c r="F678" s="14"/>
      <c r="G678" s="1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</row>
    <row r="679" spans="1:18" ht="12.75">
      <c r="A679" s="5"/>
      <c r="B679" s="5"/>
      <c r="C679" s="14"/>
      <c r="D679" s="14"/>
      <c r="E679" s="14"/>
      <c r="F679" s="14"/>
      <c r="G679" s="1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</row>
    <row r="680" spans="1:18" ht="12.75">
      <c r="A680" s="5"/>
      <c r="B680" s="5"/>
      <c r="C680" s="14"/>
      <c r="D680" s="14"/>
      <c r="E680" s="14"/>
      <c r="F680" s="14"/>
      <c r="G680" s="1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</row>
    <row r="681" spans="1:18" ht="12.75">
      <c r="A681" s="5"/>
      <c r="B681" s="5"/>
      <c r="C681" s="14"/>
      <c r="D681" s="14"/>
      <c r="E681" s="14"/>
      <c r="F681" s="14"/>
      <c r="G681" s="1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</row>
    <row r="682" spans="1:18" ht="12.75">
      <c r="A682" s="5"/>
      <c r="B682" s="5"/>
      <c r="C682" s="14"/>
      <c r="D682" s="14"/>
      <c r="E682" s="14"/>
      <c r="F682" s="14"/>
      <c r="G682" s="1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</row>
    <row r="683" spans="1:18" ht="12.75">
      <c r="A683" s="5"/>
      <c r="B683" s="5"/>
      <c r="C683" s="14"/>
      <c r="D683" s="14"/>
      <c r="E683" s="14"/>
      <c r="F683" s="14"/>
      <c r="G683" s="1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</row>
    <row r="684" spans="1:18" ht="12.75">
      <c r="A684" s="5"/>
      <c r="B684" s="5"/>
      <c r="C684" s="14"/>
      <c r="D684" s="14"/>
      <c r="E684" s="14"/>
      <c r="F684" s="14"/>
      <c r="G684" s="1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</row>
    <row r="685" spans="1:18" ht="12.75">
      <c r="A685" s="5"/>
      <c r="B685" s="5"/>
      <c r="C685" s="14"/>
      <c r="D685" s="14"/>
      <c r="E685" s="14"/>
      <c r="F685" s="14"/>
      <c r="G685" s="1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</row>
    <row r="686" spans="1:18" ht="12.75">
      <c r="A686" s="5"/>
      <c r="B686" s="5"/>
      <c r="C686" s="14"/>
      <c r="D686" s="14"/>
      <c r="E686" s="14"/>
      <c r="F686" s="14"/>
      <c r="G686" s="1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</row>
    <row r="687" spans="1:18" ht="12.75">
      <c r="A687" s="5"/>
      <c r="B687" s="5"/>
      <c r="C687" s="14"/>
      <c r="D687" s="14"/>
      <c r="E687" s="14"/>
      <c r="F687" s="14"/>
      <c r="G687" s="1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</row>
    <row r="688" spans="1:18" ht="12.75">
      <c r="A688" s="5"/>
      <c r="B688" s="5"/>
      <c r="C688" s="14"/>
      <c r="D688" s="14"/>
      <c r="E688" s="14"/>
      <c r="F688" s="14"/>
      <c r="G688" s="1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</row>
    <row r="689" spans="1:18" ht="12.75">
      <c r="A689" s="5"/>
      <c r="B689" s="5"/>
      <c r="C689" s="14"/>
      <c r="D689" s="14"/>
      <c r="E689" s="14"/>
      <c r="F689" s="14"/>
      <c r="G689" s="1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</row>
    <row r="690" spans="1:18" ht="12.75">
      <c r="A690" s="5"/>
      <c r="B690" s="5"/>
      <c r="C690" s="14"/>
      <c r="D690" s="14"/>
      <c r="E690" s="14"/>
      <c r="F690" s="14"/>
      <c r="G690" s="1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</row>
    <row r="691" spans="1:18" ht="12.75">
      <c r="A691" s="5"/>
      <c r="B691" s="5"/>
      <c r="C691" s="14"/>
      <c r="D691" s="14"/>
      <c r="E691" s="14"/>
      <c r="F691" s="14"/>
      <c r="G691" s="1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</row>
    <row r="692" spans="1:18" ht="12.75">
      <c r="A692" s="5"/>
      <c r="B692" s="5"/>
      <c r="C692" s="14"/>
      <c r="D692" s="14"/>
      <c r="E692" s="14"/>
      <c r="F692" s="14"/>
      <c r="G692" s="1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</row>
    <row r="693" spans="1:18" ht="12.75">
      <c r="A693" s="5"/>
      <c r="B693" s="5"/>
      <c r="C693" s="14"/>
      <c r="D693" s="14"/>
      <c r="E693" s="14"/>
      <c r="F693" s="14"/>
      <c r="G693" s="1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</row>
    <row r="694" spans="1:18" ht="12.75">
      <c r="A694" s="5"/>
      <c r="B694" s="5"/>
      <c r="C694" s="14"/>
      <c r="D694" s="14"/>
      <c r="E694" s="14"/>
      <c r="F694" s="14"/>
      <c r="G694" s="1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</row>
    <row r="695" spans="1:18" ht="12.75">
      <c r="A695" s="5"/>
      <c r="B695" s="5"/>
      <c r="C695" s="14"/>
      <c r="D695" s="14"/>
      <c r="E695" s="14"/>
      <c r="F695" s="14"/>
      <c r="G695" s="1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</row>
    <row r="696" spans="1:18" ht="12.75">
      <c r="A696" s="5"/>
      <c r="B696" s="5"/>
      <c r="C696" s="14"/>
      <c r="D696" s="14"/>
      <c r="E696" s="14"/>
      <c r="F696" s="14"/>
      <c r="G696" s="1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</row>
    <row r="697" spans="1:18" ht="12.75">
      <c r="A697" s="5"/>
      <c r="B697" s="5"/>
      <c r="C697" s="14"/>
      <c r="D697" s="14"/>
      <c r="E697" s="14"/>
      <c r="F697" s="14"/>
      <c r="G697" s="1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</row>
    <row r="698" spans="1:18" ht="12.75">
      <c r="A698" s="5"/>
      <c r="B698" s="5"/>
      <c r="C698" s="14"/>
      <c r="D698" s="14"/>
      <c r="E698" s="14"/>
      <c r="F698" s="14"/>
      <c r="G698" s="1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</row>
    <row r="699" spans="1:18" ht="12.75">
      <c r="A699" s="5"/>
      <c r="B699" s="5"/>
      <c r="C699" s="14"/>
      <c r="D699" s="14"/>
      <c r="E699" s="14"/>
      <c r="F699" s="14"/>
      <c r="G699" s="1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</row>
    <row r="700" spans="1:18" ht="12.75">
      <c r="A700" s="5"/>
      <c r="B700" s="5"/>
      <c r="C700" s="14"/>
      <c r="D700" s="14"/>
      <c r="E700" s="14"/>
      <c r="F700" s="14"/>
      <c r="G700" s="1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</row>
    <row r="701" spans="1:18" ht="12.75">
      <c r="A701" s="5"/>
      <c r="B701" s="5"/>
      <c r="C701" s="14"/>
      <c r="D701" s="14"/>
      <c r="E701" s="14"/>
      <c r="F701" s="14"/>
      <c r="G701" s="1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</row>
    <row r="702" spans="1:18" ht="12.75">
      <c r="A702" s="5"/>
      <c r="B702" s="5"/>
      <c r="C702" s="14"/>
      <c r="D702" s="14"/>
      <c r="E702" s="14"/>
      <c r="F702" s="14"/>
      <c r="G702" s="1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</row>
    <row r="703" spans="1:18" ht="12.75">
      <c r="A703" s="5"/>
      <c r="B703" s="5"/>
      <c r="C703" s="14"/>
      <c r="D703" s="14"/>
      <c r="E703" s="14"/>
      <c r="F703" s="14"/>
      <c r="G703" s="1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</row>
    <row r="704" spans="1:18" ht="12.75">
      <c r="A704" s="5"/>
      <c r="B704" s="5"/>
      <c r="C704" s="14"/>
      <c r="D704" s="14"/>
      <c r="E704" s="14"/>
      <c r="F704" s="14"/>
      <c r="G704" s="1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</row>
    <row r="705" spans="1:18" ht="12.75">
      <c r="A705" s="5"/>
      <c r="B705" s="5"/>
      <c r="C705" s="14"/>
      <c r="D705" s="14"/>
      <c r="E705" s="14"/>
      <c r="F705" s="14"/>
      <c r="G705" s="1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</row>
    <row r="706" spans="1:18" ht="12.75">
      <c r="A706" s="5"/>
      <c r="B706" s="5"/>
      <c r="C706" s="14"/>
      <c r="D706" s="14"/>
      <c r="E706" s="14"/>
      <c r="F706" s="14"/>
      <c r="G706" s="1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</row>
    <row r="707" spans="1:18" ht="12.75">
      <c r="A707" s="5"/>
      <c r="B707" s="5"/>
      <c r="C707" s="14"/>
      <c r="D707" s="14"/>
      <c r="E707" s="14"/>
      <c r="F707" s="14"/>
      <c r="G707" s="1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</row>
    <row r="708" spans="1:18" ht="12.75">
      <c r="A708" s="5"/>
      <c r="B708" s="5"/>
      <c r="C708" s="14"/>
      <c r="D708" s="14"/>
      <c r="E708" s="14"/>
      <c r="F708" s="14"/>
      <c r="G708" s="1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</row>
    <row r="709" spans="1:18" ht="12.75">
      <c r="A709" s="5"/>
      <c r="B709" s="5"/>
      <c r="C709" s="14"/>
      <c r="D709" s="14"/>
      <c r="E709" s="14"/>
      <c r="F709" s="14"/>
      <c r="G709" s="1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</row>
    <row r="710" spans="1:18" ht="12.75">
      <c r="A710" s="5"/>
      <c r="B710" s="5"/>
      <c r="C710" s="14"/>
      <c r="D710" s="14"/>
      <c r="E710" s="14"/>
      <c r="F710" s="14"/>
      <c r="G710" s="1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</row>
    <row r="711" spans="1:18" ht="12.75">
      <c r="A711" s="5"/>
      <c r="B711" s="5"/>
      <c r="C711" s="14"/>
      <c r="D711" s="14"/>
      <c r="E711" s="14"/>
      <c r="F711" s="14"/>
      <c r="G711" s="1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</row>
    <row r="712" spans="1:18" ht="12.75">
      <c r="A712" s="5"/>
      <c r="B712" s="5"/>
      <c r="C712" s="14"/>
      <c r="D712" s="14"/>
      <c r="E712" s="14"/>
      <c r="F712" s="14"/>
      <c r="G712" s="1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</row>
    <row r="713" spans="1:18" ht="12.75">
      <c r="A713" s="5"/>
      <c r="B713" s="5"/>
      <c r="C713" s="14"/>
      <c r="D713" s="14"/>
      <c r="E713" s="14"/>
      <c r="F713" s="14"/>
      <c r="G713" s="1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</row>
    <row r="714" spans="1:18" ht="12.75">
      <c r="A714" s="5"/>
      <c r="B714" s="5"/>
      <c r="C714" s="14"/>
      <c r="D714" s="14"/>
      <c r="E714" s="14"/>
      <c r="F714" s="14"/>
      <c r="G714" s="1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</row>
    <row r="715" spans="1:18" ht="12.75">
      <c r="A715" s="5"/>
      <c r="B715" s="5"/>
      <c r="C715" s="14"/>
      <c r="D715" s="14"/>
      <c r="E715" s="14"/>
      <c r="F715" s="14"/>
      <c r="G715" s="1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</row>
    <row r="716" spans="1:18" ht="12.75">
      <c r="A716" s="5"/>
      <c r="B716" s="5"/>
      <c r="C716" s="14"/>
      <c r="D716" s="14"/>
      <c r="E716" s="14"/>
      <c r="F716" s="14"/>
      <c r="G716" s="1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</row>
    <row r="717" spans="1:18" ht="12.75">
      <c r="A717" s="5"/>
      <c r="B717" s="5"/>
      <c r="C717" s="14"/>
      <c r="D717" s="14"/>
      <c r="E717" s="14"/>
      <c r="F717" s="14"/>
      <c r="G717" s="1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</row>
    <row r="718" spans="1:18" ht="12.75">
      <c r="A718" s="5"/>
      <c r="B718" s="5"/>
      <c r="C718" s="14"/>
      <c r="D718" s="14"/>
      <c r="E718" s="14"/>
      <c r="F718" s="14"/>
      <c r="G718" s="1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</row>
    <row r="719" spans="1:18" ht="12.75">
      <c r="A719" s="5"/>
      <c r="B719" s="5"/>
      <c r="C719" s="14"/>
      <c r="D719" s="14"/>
      <c r="E719" s="14"/>
      <c r="F719" s="14"/>
      <c r="G719" s="1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</row>
    <row r="720" spans="1:18" ht="12.75">
      <c r="A720" s="5"/>
      <c r="B720" s="5"/>
      <c r="C720" s="14"/>
      <c r="D720" s="14"/>
      <c r="E720" s="14"/>
      <c r="F720" s="14"/>
      <c r="G720" s="1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</row>
    <row r="721" spans="1:18" ht="12.75">
      <c r="A721" s="5"/>
      <c r="B721" s="5"/>
      <c r="C721" s="14"/>
      <c r="D721" s="14"/>
      <c r="E721" s="14"/>
      <c r="F721" s="14"/>
      <c r="G721" s="1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</row>
    <row r="722" spans="1:18" ht="12.75">
      <c r="A722" s="5"/>
      <c r="B722" s="5"/>
      <c r="C722" s="14"/>
      <c r="D722" s="14"/>
      <c r="E722" s="14"/>
      <c r="F722" s="14"/>
      <c r="G722" s="1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</row>
    <row r="723" spans="1:18" ht="12.75">
      <c r="A723" s="5"/>
      <c r="B723" s="5"/>
      <c r="C723" s="14"/>
      <c r="D723" s="14"/>
      <c r="E723" s="14"/>
      <c r="F723" s="14"/>
      <c r="G723" s="1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</row>
    <row r="724" spans="1:18" ht="12.75">
      <c r="A724" s="5"/>
      <c r="B724" s="5"/>
      <c r="C724" s="14"/>
      <c r="D724" s="14"/>
      <c r="E724" s="14"/>
      <c r="F724" s="14"/>
      <c r="G724" s="1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</row>
    <row r="725" spans="1:18" ht="12.75">
      <c r="A725" s="5"/>
      <c r="B725" s="5"/>
      <c r="C725" s="14"/>
      <c r="D725" s="14"/>
      <c r="E725" s="14"/>
      <c r="F725" s="14"/>
      <c r="G725" s="1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</row>
    <row r="726" spans="1:18" ht="12.75">
      <c r="A726" s="5"/>
      <c r="B726" s="5"/>
      <c r="C726" s="14"/>
      <c r="D726" s="14"/>
      <c r="E726" s="14"/>
      <c r="F726" s="14"/>
      <c r="G726" s="1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</row>
    <row r="727" spans="1:18" ht="12.75">
      <c r="A727" s="5"/>
      <c r="B727" s="5"/>
      <c r="C727" s="14"/>
      <c r="D727" s="14"/>
      <c r="E727" s="14"/>
      <c r="F727" s="14"/>
      <c r="G727" s="1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</row>
    <row r="728" spans="1:18" ht="12.75">
      <c r="A728" s="5"/>
      <c r="B728" s="5"/>
      <c r="C728" s="14"/>
      <c r="D728" s="14"/>
      <c r="E728" s="14"/>
      <c r="F728" s="14"/>
      <c r="G728" s="1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</row>
    <row r="729" spans="1:18" ht="12.75">
      <c r="A729" s="5"/>
      <c r="B729" s="5"/>
      <c r="C729" s="14"/>
      <c r="D729" s="14"/>
      <c r="E729" s="14"/>
      <c r="F729" s="14"/>
      <c r="G729" s="1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</row>
    <row r="730" spans="1:18" ht="12.75">
      <c r="A730" s="5"/>
      <c r="B730" s="5"/>
      <c r="C730" s="14"/>
      <c r="D730" s="14"/>
      <c r="E730" s="14"/>
      <c r="F730" s="14"/>
      <c r="G730" s="1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</row>
    <row r="731" spans="1:18" ht="12.75">
      <c r="A731" s="5"/>
      <c r="B731" s="5"/>
      <c r="C731" s="14"/>
      <c r="D731" s="14"/>
      <c r="E731" s="14"/>
      <c r="F731" s="14"/>
      <c r="G731" s="1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</row>
    <row r="732" spans="1:18" ht="12.75">
      <c r="A732" s="5"/>
      <c r="B732" s="5"/>
      <c r="C732" s="14"/>
      <c r="D732" s="14"/>
      <c r="E732" s="14"/>
      <c r="F732" s="14"/>
      <c r="G732" s="1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</row>
    <row r="733" spans="1:18" ht="12.75">
      <c r="A733" s="5"/>
      <c r="B733" s="5"/>
      <c r="C733" s="14"/>
      <c r="D733" s="14"/>
      <c r="E733" s="14"/>
      <c r="F733" s="14"/>
      <c r="G733" s="1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</row>
    <row r="734" spans="1:18" ht="12.75">
      <c r="A734" s="5"/>
      <c r="B734" s="5"/>
      <c r="C734" s="14"/>
      <c r="D734" s="14"/>
      <c r="E734" s="14"/>
      <c r="F734" s="14"/>
      <c r="G734" s="1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</row>
    <row r="735" spans="1:18" ht="12.75">
      <c r="A735" s="5"/>
      <c r="B735" s="5"/>
      <c r="C735" s="14"/>
      <c r="D735" s="14"/>
      <c r="E735" s="14"/>
      <c r="F735" s="14"/>
      <c r="G735" s="1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</row>
    <row r="736" spans="1:18" ht="12.75">
      <c r="A736" s="5"/>
      <c r="B736" s="5"/>
      <c r="C736" s="14"/>
      <c r="D736" s="14"/>
      <c r="E736" s="14"/>
      <c r="F736" s="14"/>
      <c r="G736" s="1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</row>
    <row r="737" spans="1:18" ht="12.75">
      <c r="A737" s="5"/>
      <c r="B737" s="5"/>
      <c r="C737" s="14"/>
      <c r="D737" s="14"/>
      <c r="E737" s="14"/>
      <c r="F737" s="14"/>
      <c r="G737" s="1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</row>
    <row r="738" spans="1:18" ht="12.75">
      <c r="A738" s="5"/>
      <c r="B738" s="5"/>
      <c r="C738" s="14"/>
      <c r="D738" s="14"/>
      <c r="E738" s="14"/>
      <c r="F738" s="14"/>
      <c r="G738" s="1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</row>
    <row r="739" spans="1:18" ht="12.75">
      <c r="A739" s="5"/>
      <c r="B739" s="5"/>
      <c r="C739" s="14"/>
      <c r="D739" s="14"/>
      <c r="E739" s="14"/>
      <c r="F739" s="14"/>
      <c r="G739" s="1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</row>
    <row r="740" spans="1:18" ht="12.75">
      <c r="A740" s="5"/>
      <c r="B740" s="5"/>
      <c r="C740" s="14"/>
      <c r="D740" s="14"/>
      <c r="E740" s="14"/>
      <c r="F740" s="14"/>
      <c r="G740" s="1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</row>
    <row r="741" spans="1:18" ht="12.75">
      <c r="A741" s="5"/>
      <c r="B741" s="5"/>
      <c r="C741" s="14"/>
      <c r="D741" s="14"/>
      <c r="E741" s="14"/>
      <c r="F741" s="14"/>
      <c r="G741" s="1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</row>
    <row r="742" spans="1:18" ht="12.75">
      <c r="A742" s="5"/>
      <c r="B742" s="5"/>
      <c r="C742" s="14"/>
      <c r="D742" s="14"/>
      <c r="E742" s="14"/>
      <c r="F742" s="14"/>
      <c r="G742" s="1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</row>
    <row r="743" spans="1:18" ht="12.75">
      <c r="A743" s="5"/>
      <c r="B743" s="5"/>
      <c r="C743" s="14"/>
      <c r="D743" s="14"/>
      <c r="E743" s="14"/>
      <c r="F743" s="14"/>
      <c r="G743" s="1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</row>
    <row r="744" spans="1:18" ht="12.75">
      <c r="A744" s="5"/>
      <c r="B744" s="5"/>
      <c r="C744" s="14"/>
      <c r="D744" s="14"/>
      <c r="E744" s="14"/>
      <c r="F744" s="14"/>
      <c r="G744" s="1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</row>
    <row r="745" spans="1:18" ht="12.75">
      <c r="A745" s="5"/>
      <c r="B745" s="5"/>
      <c r="C745" s="14"/>
      <c r="D745" s="14"/>
      <c r="E745" s="14"/>
      <c r="F745" s="14"/>
      <c r="G745" s="1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</row>
    <row r="746" spans="1:18" ht="12.75">
      <c r="A746" s="5"/>
      <c r="B746" s="5"/>
      <c r="C746" s="14"/>
      <c r="D746" s="14"/>
      <c r="E746" s="14"/>
      <c r="F746" s="14"/>
      <c r="G746" s="1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</row>
    <row r="747" spans="1:18" ht="12.75">
      <c r="A747" s="5"/>
      <c r="B747" s="5"/>
      <c r="C747" s="14"/>
      <c r="D747" s="14"/>
      <c r="E747" s="14"/>
      <c r="F747" s="14"/>
      <c r="G747" s="1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</row>
    <row r="748" spans="1:18" ht="12.75">
      <c r="A748" s="5"/>
      <c r="B748" s="5"/>
      <c r="C748" s="14"/>
      <c r="D748" s="14"/>
      <c r="E748" s="14"/>
      <c r="F748" s="14"/>
      <c r="G748" s="1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</row>
    <row r="749" spans="1:18" ht="12.75">
      <c r="A749" s="5"/>
      <c r="B749" s="5"/>
      <c r="C749" s="14"/>
      <c r="D749" s="14"/>
      <c r="E749" s="14"/>
      <c r="F749" s="14"/>
      <c r="G749" s="1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</row>
    <row r="750" spans="1:18" ht="12.75">
      <c r="A750" s="5"/>
      <c r="B750" s="5"/>
      <c r="C750" s="14"/>
      <c r="D750" s="14"/>
      <c r="E750" s="14"/>
      <c r="F750" s="14"/>
      <c r="G750" s="1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</row>
    <row r="751" spans="1:18" ht="12.75">
      <c r="A751" s="5"/>
      <c r="B751" s="5"/>
      <c r="C751" s="14"/>
      <c r="D751" s="14"/>
      <c r="E751" s="14"/>
      <c r="F751" s="14"/>
      <c r="G751" s="1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</row>
    <row r="752" spans="1:18" ht="12.75">
      <c r="A752" s="5"/>
      <c r="B752" s="5"/>
      <c r="C752" s="14"/>
      <c r="D752" s="14"/>
      <c r="E752" s="14"/>
      <c r="F752" s="14"/>
      <c r="G752" s="1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</row>
    <row r="753" spans="1:18" ht="12.75">
      <c r="A753" s="5"/>
      <c r="B753" s="5"/>
      <c r="C753" s="14"/>
      <c r="D753" s="14"/>
      <c r="E753" s="14"/>
      <c r="F753" s="14"/>
      <c r="G753" s="1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</row>
    <row r="754" spans="1:18" ht="12.75">
      <c r="A754" s="5"/>
      <c r="B754" s="5"/>
      <c r="C754" s="14"/>
      <c r="D754" s="14"/>
      <c r="E754" s="14"/>
      <c r="F754" s="14"/>
      <c r="G754" s="1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</row>
    <row r="755" spans="1:18" ht="12.75">
      <c r="A755" s="5"/>
      <c r="B755" s="5"/>
      <c r="C755" s="14"/>
      <c r="D755" s="14"/>
      <c r="E755" s="14"/>
      <c r="F755" s="14"/>
      <c r="G755" s="1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</row>
    <row r="756" spans="1:18" ht="12.75">
      <c r="A756" s="5"/>
      <c r="B756" s="5"/>
      <c r="C756" s="14"/>
      <c r="D756" s="14"/>
      <c r="E756" s="14"/>
      <c r="F756" s="14"/>
      <c r="G756" s="1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</row>
    <row r="757" spans="1:18" ht="12.75">
      <c r="A757" s="5"/>
      <c r="B757" s="5"/>
      <c r="C757" s="14"/>
      <c r="D757" s="14"/>
      <c r="E757" s="14"/>
      <c r="F757" s="14"/>
      <c r="G757" s="1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</row>
    <row r="758" spans="1:18" ht="12.75">
      <c r="A758" s="5"/>
      <c r="B758" s="5"/>
      <c r="C758" s="14"/>
      <c r="D758" s="14"/>
      <c r="E758" s="14"/>
      <c r="F758" s="14"/>
      <c r="G758" s="1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</row>
    <row r="759" spans="1:18" ht="12.75">
      <c r="A759" s="5"/>
      <c r="B759" s="5"/>
      <c r="C759" s="14"/>
      <c r="D759" s="14"/>
      <c r="E759" s="14"/>
      <c r="F759" s="14"/>
      <c r="G759" s="1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</row>
    <row r="760" spans="1:18" ht="12.75">
      <c r="A760" s="5"/>
      <c r="B760" s="5"/>
      <c r="C760" s="14"/>
      <c r="D760" s="14"/>
      <c r="E760" s="14"/>
      <c r="F760" s="14"/>
      <c r="G760" s="1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</row>
    <row r="761" spans="1:18" ht="12.75">
      <c r="A761" s="5"/>
      <c r="B761" s="5"/>
      <c r="C761" s="14"/>
      <c r="D761" s="14"/>
      <c r="E761" s="14"/>
      <c r="F761" s="14"/>
      <c r="G761" s="1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</row>
    <row r="762" spans="1:18" ht="12.75">
      <c r="A762" s="5"/>
      <c r="B762" s="5"/>
      <c r="C762" s="14"/>
      <c r="D762" s="14"/>
      <c r="E762" s="14"/>
      <c r="F762" s="14"/>
      <c r="G762" s="1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</row>
    <row r="763" spans="1:18" ht="12.75">
      <c r="A763" s="5"/>
      <c r="B763" s="5"/>
      <c r="C763" s="14"/>
      <c r="D763" s="14"/>
      <c r="E763" s="14"/>
      <c r="F763" s="14"/>
      <c r="G763" s="1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</row>
    <row r="764" spans="1:18" ht="12.75">
      <c r="A764" s="5"/>
      <c r="B764" s="5"/>
      <c r="C764" s="14"/>
      <c r="D764" s="14"/>
      <c r="E764" s="14"/>
      <c r="F764" s="14"/>
      <c r="G764" s="1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</row>
    <row r="765" spans="1:18" ht="12.75">
      <c r="A765" s="5"/>
      <c r="B765" s="5"/>
      <c r="C765" s="14"/>
      <c r="D765" s="14"/>
      <c r="E765" s="14"/>
      <c r="F765" s="14"/>
      <c r="G765" s="1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</row>
    <row r="766" spans="1:18" ht="12.75">
      <c r="A766" s="5"/>
      <c r="B766" s="5"/>
      <c r="C766" s="14"/>
      <c r="D766" s="14"/>
      <c r="E766" s="14"/>
      <c r="F766" s="14"/>
      <c r="G766" s="1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</row>
    <row r="767" spans="1:18" ht="12.75">
      <c r="A767" s="5"/>
      <c r="B767" s="5"/>
      <c r="C767" s="14"/>
      <c r="D767" s="14"/>
      <c r="E767" s="14"/>
      <c r="F767" s="14"/>
      <c r="G767" s="1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</row>
    <row r="768" spans="1:18" ht="12.75">
      <c r="A768" s="5"/>
      <c r="B768" s="5"/>
      <c r="C768" s="14"/>
      <c r="D768" s="14"/>
      <c r="E768" s="14"/>
      <c r="F768" s="14"/>
      <c r="G768" s="1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</row>
    <row r="769" spans="1:18" ht="12.75">
      <c r="A769" s="5"/>
      <c r="B769" s="5"/>
      <c r="C769" s="14"/>
      <c r="D769" s="14"/>
      <c r="E769" s="14"/>
      <c r="F769" s="14"/>
      <c r="G769" s="1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</row>
    <row r="770" spans="1:18" ht="12.75">
      <c r="A770" s="5"/>
      <c r="B770" s="5"/>
      <c r="C770" s="14"/>
      <c r="D770" s="14"/>
      <c r="E770" s="14"/>
      <c r="F770" s="14"/>
      <c r="G770" s="1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</row>
    <row r="771" spans="1:18" ht="12.75">
      <c r="A771" s="5"/>
      <c r="B771" s="5"/>
      <c r="C771" s="14"/>
      <c r="D771" s="14"/>
      <c r="E771" s="14"/>
      <c r="F771" s="14"/>
      <c r="G771" s="1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</row>
    <row r="772" spans="1:18" ht="12.75">
      <c r="A772" s="5"/>
      <c r="B772" s="5"/>
      <c r="C772" s="14"/>
      <c r="D772" s="14"/>
      <c r="E772" s="14"/>
      <c r="F772" s="14"/>
      <c r="G772" s="1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</row>
    <row r="773" spans="1:18" ht="12.75">
      <c r="A773" s="5"/>
      <c r="B773" s="5"/>
      <c r="C773" s="14"/>
      <c r="D773" s="14"/>
      <c r="E773" s="14"/>
      <c r="F773" s="14"/>
      <c r="G773" s="1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</row>
    <row r="774" spans="1:18" ht="12.75">
      <c r="A774" s="5"/>
      <c r="B774" s="5"/>
      <c r="C774" s="14"/>
      <c r="D774" s="14"/>
      <c r="E774" s="14"/>
      <c r="F774" s="14"/>
      <c r="G774" s="1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</row>
    <row r="775" spans="1:18" ht="12.75">
      <c r="A775" s="5"/>
      <c r="B775" s="5"/>
      <c r="C775" s="14"/>
      <c r="D775" s="14"/>
      <c r="E775" s="14"/>
      <c r="F775" s="14"/>
      <c r="G775" s="1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</row>
    <row r="776" spans="1:18" ht="12.75">
      <c r="A776" s="5"/>
      <c r="B776" s="5"/>
      <c r="C776" s="14"/>
      <c r="D776" s="14"/>
      <c r="E776" s="14"/>
      <c r="F776" s="14"/>
      <c r="G776" s="1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</row>
    <row r="777" spans="1:18" ht="12.75">
      <c r="A777" s="5"/>
      <c r="B777" s="5"/>
      <c r="C777" s="14"/>
      <c r="D777" s="14"/>
      <c r="E777" s="14"/>
      <c r="F777" s="14"/>
      <c r="G777" s="1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</row>
    <row r="778" spans="1:18" ht="12.75">
      <c r="A778" s="5"/>
      <c r="B778" s="5"/>
      <c r="C778" s="14"/>
      <c r="D778" s="14"/>
      <c r="E778" s="14"/>
      <c r="F778" s="14"/>
      <c r="G778" s="1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</row>
    <row r="779" spans="1:18" ht="12.75">
      <c r="A779" s="5"/>
      <c r="B779" s="5"/>
      <c r="C779" s="14"/>
      <c r="D779" s="14"/>
      <c r="E779" s="14"/>
      <c r="F779" s="14"/>
      <c r="G779" s="1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</row>
    <row r="780" spans="1:18" ht="12.75">
      <c r="A780" s="5"/>
      <c r="B780" s="5"/>
      <c r="C780" s="14"/>
      <c r="D780" s="14"/>
      <c r="E780" s="14"/>
      <c r="F780" s="14"/>
      <c r="G780" s="1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</row>
    <row r="781" spans="1:18" ht="12.75">
      <c r="A781" s="5"/>
      <c r="B781" s="5"/>
      <c r="C781" s="14"/>
      <c r="D781" s="14"/>
      <c r="E781" s="14"/>
      <c r="F781" s="14"/>
      <c r="G781" s="1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</row>
    <row r="782" spans="1:18" ht="12.75">
      <c r="A782" s="5"/>
      <c r="B782" s="5"/>
      <c r="C782" s="14"/>
      <c r="D782" s="14"/>
      <c r="E782" s="14"/>
      <c r="F782" s="14"/>
      <c r="G782" s="1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</row>
    <row r="783" spans="1:18" ht="12.75">
      <c r="A783" s="5"/>
      <c r="B783" s="5"/>
      <c r="C783" s="14"/>
      <c r="D783" s="14"/>
      <c r="E783" s="14"/>
      <c r="F783" s="14"/>
      <c r="G783" s="1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</row>
    <row r="784" spans="1:18" ht="12.75">
      <c r="A784" s="5"/>
      <c r="B784" s="5"/>
      <c r="C784" s="14"/>
      <c r="D784" s="14"/>
      <c r="E784" s="14"/>
      <c r="F784" s="14"/>
      <c r="G784" s="1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</row>
    <row r="785" spans="1:18" ht="12.75">
      <c r="A785" s="5"/>
      <c r="B785" s="5"/>
      <c r="C785" s="14"/>
      <c r="D785" s="14"/>
      <c r="E785" s="14"/>
      <c r="F785" s="14"/>
      <c r="G785" s="1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</row>
    <row r="786" spans="1:18" ht="12.75">
      <c r="A786" s="5"/>
      <c r="B786" s="5"/>
      <c r="C786" s="14"/>
      <c r="D786" s="14"/>
      <c r="E786" s="14"/>
      <c r="F786" s="14"/>
      <c r="G786" s="1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</row>
    <row r="787" spans="1:18" ht="12.75">
      <c r="A787" s="5"/>
      <c r="B787" s="5"/>
      <c r="C787" s="14"/>
      <c r="D787" s="14"/>
      <c r="E787" s="14"/>
      <c r="F787" s="14"/>
      <c r="G787" s="1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</row>
    <row r="788" spans="1:18" ht="12.75">
      <c r="A788" s="5"/>
      <c r="B788" s="5"/>
      <c r="C788" s="14"/>
      <c r="D788" s="14"/>
      <c r="E788" s="14"/>
      <c r="F788" s="14"/>
      <c r="G788" s="1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</row>
    <row r="789" spans="1:18" ht="12.75">
      <c r="A789" s="5"/>
      <c r="B789" s="5"/>
      <c r="C789" s="14"/>
      <c r="D789" s="14"/>
      <c r="E789" s="14"/>
      <c r="F789" s="14"/>
      <c r="G789" s="1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</row>
    <row r="790" spans="1:18" ht="12.75">
      <c r="A790" s="5"/>
      <c r="B790" s="5"/>
      <c r="C790" s="14"/>
      <c r="D790" s="14"/>
      <c r="E790" s="14"/>
      <c r="F790" s="14"/>
      <c r="G790" s="1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</row>
    <row r="791" spans="1:18" ht="12.75">
      <c r="A791" s="5"/>
      <c r="B791" s="5"/>
      <c r="C791" s="14"/>
      <c r="D791" s="14"/>
      <c r="E791" s="14"/>
      <c r="F791" s="14"/>
      <c r="G791" s="1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</row>
    <row r="792" spans="1:18" ht="12.75">
      <c r="A792" s="5"/>
      <c r="B792" s="5"/>
      <c r="C792" s="14"/>
      <c r="D792" s="14"/>
      <c r="E792" s="14"/>
      <c r="F792" s="14"/>
      <c r="G792" s="1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</row>
    <row r="793" spans="1:18" ht="12.75">
      <c r="A793" s="5"/>
      <c r="B793" s="5"/>
      <c r="C793" s="14"/>
      <c r="D793" s="14"/>
      <c r="E793" s="14"/>
      <c r="F793" s="14"/>
      <c r="G793" s="1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</row>
    <row r="794" spans="1:18" ht="12.75">
      <c r="A794" s="5"/>
      <c r="B794" s="5"/>
      <c r="C794" s="14"/>
      <c r="D794" s="14"/>
      <c r="E794" s="14"/>
      <c r="F794" s="14"/>
      <c r="G794" s="1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</row>
    <row r="795" spans="1:18" ht="12.75">
      <c r="A795" s="5"/>
      <c r="B795" s="5"/>
      <c r="C795" s="14"/>
      <c r="D795" s="14"/>
      <c r="E795" s="14"/>
      <c r="F795" s="14"/>
      <c r="G795" s="1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</row>
    <row r="796" spans="1:18" ht="12.75">
      <c r="A796" s="5"/>
      <c r="B796" s="5"/>
      <c r="C796" s="14"/>
      <c r="D796" s="14"/>
      <c r="E796" s="14"/>
      <c r="F796" s="14"/>
      <c r="G796" s="1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</row>
    <row r="797" spans="1:18" ht="12.75">
      <c r="A797" s="5"/>
      <c r="B797" s="5"/>
      <c r="C797" s="14"/>
      <c r="D797" s="14"/>
      <c r="E797" s="14"/>
      <c r="F797" s="14"/>
      <c r="G797" s="1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</row>
    <row r="798" spans="1:18" ht="12.75">
      <c r="A798" s="5"/>
      <c r="B798" s="5"/>
      <c r="C798" s="14"/>
      <c r="D798" s="14"/>
      <c r="E798" s="14"/>
      <c r="F798" s="14"/>
      <c r="G798" s="1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</row>
    <row r="799" spans="1:18" ht="12.75">
      <c r="A799" s="5"/>
      <c r="B799" s="5"/>
      <c r="C799" s="14"/>
      <c r="D799" s="14"/>
      <c r="E799" s="14"/>
      <c r="F799" s="14"/>
      <c r="G799" s="1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</row>
    <row r="800" spans="1:18" ht="12.75">
      <c r="A800" s="5"/>
      <c r="B800" s="5"/>
      <c r="C800" s="14"/>
      <c r="D800" s="14"/>
      <c r="E800" s="14"/>
      <c r="F800" s="14"/>
      <c r="G800" s="1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</row>
    <row r="801" spans="1:18" ht="12.75">
      <c r="A801" s="5"/>
      <c r="B801" s="5"/>
      <c r="C801" s="14"/>
      <c r="D801" s="14"/>
      <c r="E801" s="14"/>
      <c r="F801" s="14"/>
      <c r="G801" s="1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</row>
    <row r="802" spans="1:18" ht="12.75">
      <c r="A802" s="5"/>
      <c r="B802" s="5"/>
      <c r="C802" s="14"/>
      <c r="D802" s="14"/>
      <c r="E802" s="14"/>
      <c r="F802" s="14"/>
      <c r="G802" s="1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</row>
    <row r="803" spans="1:18" ht="12.75">
      <c r="A803" s="5"/>
      <c r="B803" s="5"/>
      <c r="C803" s="14"/>
      <c r="D803" s="14"/>
      <c r="E803" s="14"/>
      <c r="F803" s="14"/>
      <c r="G803" s="1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</row>
    <row r="804" spans="1:18" ht="12.75">
      <c r="A804" s="5"/>
      <c r="B804" s="5"/>
      <c r="C804" s="14"/>
      <c r="D804" s="14"/>
      <c r="E804" s="14"/>
      <c r="F804" s="14"/>
      <c r="G804" s="1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</row>
    <row r="805" spans="1:18" ht="12.75">
      <c r="A805" s="5"/>
      <c r="B805" s="5"/>
      <c r="C805" s="14"/>
      <c r="D805" s="14"/>
      <c r="E805" s="14"/>
      <c r="F805" s="14"/>
      <c r="G805" s="1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</row>
    <row r="806" spans="1:18" ht="12.75">
      <c r="A806" s="5"/>
      <c r="B806" s="5"/>
      <c r="C806" s="14"/>
      <c r="D806" s="14"/>
      <c r="E806" s="14"/>
      <c r="F806" s="14"/>
      <c r="G806" s="1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</row>
    <row r="807" spans="1:18" ht="12.75">
      <c r="A807" s="5"/>
      <c r="B807" s="5"/>
      <c r="C807" s="14"/>
      <c r="D807" s="14"/>
      <c r="E807" s="14"/>
      <c r="F807" s="14"/>
      <c r="G807" s="1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</row>
    <row r="808" spans="1:18" ht="12.75">
      <c r="A808" s="5"/>
      <c r="B808" s="5"/>
      <c r="C808" s="14"/>
      <c r="D808" s="14"/>
      <c r="E808" s="14"/>
      <c r="F808" s="14"/>
      <c r="G808" s="1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</row>
    <row r="809" spans="1:18" ht="12.75">
      <c r="A809" s="5"/>
      <c r="B809" s="5"/>
      <c r="C809" s="14"/>
      <c r="D809" s="14"/>
      <c r="E809" s="14"/>
      <c r="F809" s="14"/>
      <c r="G809" s="1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</row>
    <row r="810" spans="1:18" ht="12.75">
      <c r="A810" s="5"/>
      <c r="B810" s="5"/>
      <c r="C810" s="14"/>
      <c r="D810" s="14"/>
      <c r="E810" s="14"/>
      <c r="F810" s="14"/>
      <c r="G810" s="1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</row>
    <row r="811" spans="1:18" ht="12.75">
      <c r="A811" s="5"/>
      <c r="B811" s="5"/>
      <c r="C811" s="14"/>
      <c r="D811" s="14"/>
      <c r="E811" s="14"/>
      <c r="F811" s="14"/>
      <c r="G811" s="1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</row>
    <row r="812" spans="1:18" ht="12.75">
      <c r="A812" s="5"/>
      <c r="B812" s="5"/>
      <c r="C812" s="14"/>
      <c r="D812" s="14"/>
      <c r="E812" s="14"/>
      <c r="F812" s="14"/>
      <c r="G812" s="1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</row>
    <row r="813" spans="1:18" ht="12.75">
      <c r="A813" s="5"/>
      <c r="B813" s="5"/>
      <c r="C813" s="14"/>
      <c r="D813" s="14"/>
      <c r="E813" s="14"/>
      <c r="F813" s="14"/>
      <c r="G813" s="1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</row>
    <row r="814" spans="1:18" ht="12.75">
      <c r="A814" s="5"/>
      <c r="B814" s="5"/>
      <c r="C814" s="14"/>
      <c r="D814" s="14"/>
      <c r="E814" s="14"/>
      <c r="F814" s="14"/>
      <c r="G814" s="1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</row>
    <row r="815" spans="1:18" ht="12.75">
      <c r="A815" s="5"/>
      <c r="B815" s="5"/>
      <c r="C815" s="14"/>
      <c r="D815" s="14"/>
      <c r="E815" s="14"/>
      <c r="F815" s="14"/>
      <c r="G815" s="1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</row>
    <row r="816" spans="1:18" ht="12.75">
      <c r="A816" s="5"/>
      <c r="B816" s="5"/>
      <c r="C816" s="14"/>
      <c r="D816" s="14"/>
      <c r="E816" s="14"/>
      <c r="F816" s="14"/>
      <c r="G816" s="1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</row>
    <row r="817" spans="1:18" ht="12.75">
      <c r="A817" s="5"/>
      <c r="B817" s="5"/>
      <c r="C817" s="14"/>
      <c r="D817" s="14"/>
      <c r="E817" s="14"/>
      <c r="F817" s="14"/>
      <c r="G817" s="1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</row>
    <row r="818" spans="1:18" ht="12.75">
      <c r="A818" s="5"/>
      <c r="B818" s="5"/>
      <c r="C818" s="14"/>
      <c r="D818" s="14"/>
      <c r="E818" s="14"/>
      <c r="F818" s="14"/>
      <c r="G818" s="1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</row>
    <row r="819" spans="1:18" ht="12.75">
      <c r="A819" s="5"/>
      <c r="B819" s="5"/>
      <c r="C819" s="14"/>
      <c r="D819" s="14"/>
      <c r="E819" s="14"/>
      <c r="F819" s="14"/>
      <c r="G819" s="1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</row>
    <row r="820" spans="1:18" ht="12.75">
      <c r="A820" s="5"/>
      <c r="B820" s="5"/>
      <c r="C820" s="14"/>
      <c r="D820" s="14"/>
      <c r="E820" s="14"/>
      <c r="F820" s="14"/>
      <c r="G820" s="1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</row>
    <row r="821" spans="1:18" ht="12.75">
      <c r="A821" s="5"/>
      <c r="B821" s="5"/>
      <c r="C821" s="14"/>
      <c r="D821" s="14"/>
      <c r="E821" s="14"/>
      <c r="F821" s="14"/>
      <c r="G821" s="1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</row>
    <row r="822" spans="1:18" ht="12.75">
      <c r="A822" s="5"/>
      <c r="B822" s="5"/>
      <c r="C822" s="14"/>
      <c r="D822" s="14"/>
      <c r="E822" s="14"/>
      <c r="F822" s="14"/>
      <c r="G822" s="1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</row>
    <row r="823" spans="1:18" ht="12.75">
      <c r="A823" s="5"/>
      <c r="B823" s="5"/>
      <c r="C823" s="14"/>
      <c r="D823" s="14"/>
      <c r="E823" s="14"/>
      <c r="F823" s="14"/>
      <c r="G823" s="1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</row>
    <row r="824" spans="1:18" ht="12.75">
      <c r="A824" s="5"/>
      <c r="B824" s="5"/>
      <c r="C824" s="14"/>
      <c r="D824" s="14"/>
      <c r="E824" s="14"/>
      <c r="F824" s="14"/>
      <c r="G824" s="1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</row>
    <row r="825" spans="1:18" ht="12.75">
      <c r="A825" s="5"/>
      <c r="B825" s="5"/>
      <c r="C825" s="14"/>
      <c r="D825" s="14"/>
      <c r="E825" s="14"/>
      <c r="F825" s="14"/>
      <c r="G825" s="1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</row>
    <row r="826" spans="1:18" ht="12.75">
      <c r="A826" s="5"/>
      <c r="B826" s="5"/>
      <c r="C826" s="14"/>
      <c r="D826" s="14"/>
      <c r="E826" s="14"/>
      <c r="F826" s="14"/>
      <c r="G826" s="1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</row>
    <row r="827" spans="1:18" ht="12.75">
      <c r="A827" s="5"/>
      <c r="B827" s="5"/>
      <c r="C827" s="14"/>
      <c r="D827" s="14"/>
      <c r="E827" s="14"/>
      <c r="F827" s="14"/>
      <c r="G827" s="1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</row>
    <row r="828" spans="1:18" ht="12.75">
      <c r="A828" s="5"/>
      <c r="B828" s="5"/>
      <c r="C828" s="14"/>
      <c r="D828" s="14"/>
      <c r="E828" s="14"/>
      <c r="F828" s="14"/>
      <c r="G828" s="1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</row>
    <row r="829" spans="1:18" ht="12.75">
      <c r="A829" s="5"/>
      <c r="B829" s="5"/>
      <c r="C829" s="14"/>
      <c r="D829" s="14"/>
      <c r="E829" s="14"/>
      <c r="F829" s="14"/>
      <c r="G829" s="1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</row>
    <row r="830" spans="1:18" ht="12.75">
      <c r="A830" s="5"/>
      <c r="B830" s="5"/>
      <c r="C830" s="14"/>
      <c r="D830" s="14"/>
      <c r="E830" s="14"/>
      <c r="F830" s="14"/>
      <c r="G830" s="1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</row>
    <row r="831" spans="1:18" ht="12.75">
      <c r="A831" s="5"/>
      <c r="B831" s="5"/>
      <c r="C831" s="14"/>
      <c r="D831" s="14"/>
      <c r="E831" s="14"/>
      <c r="F831" s="14"/>
      <c r="G831" s="1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</row>
    <row r="832" spans="1:18" ht="12.75">
      <c r="A832" s="5"/>
      <c r="B832" s="5"/>
      <c r="C832" s="14"/>
      <c r="D832" s="14"/>
      <c r="E832" s="14"/>
      <c r="F832" s="14"/>
      <c r="G832" s="1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</row>
    <row r="833" spans="1:18" ht="12.75">
      <c r="A833" s="5"/>
      <c r="B833" s="5"/>
      <c r="C833" s="14"/>
      <c r="D833" s="14"/>
      <c r="E833" s="14"/>
      <c r="F833" s="14"/>
      <c r="G833" s="1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</row>
    <row r="834" spans="1:18" ht="12.75">
      <c r="A834" s="5"/>
      <c r="B834" s="5"/>
      <c r="C834" s="14"/>
      <c r="D834" s="14"/>
      <c r="E834" s="14"/>
      <c r="F834" s="14"/>
      <c r="G834" s="1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</row>
    <row r="835" spans="1:18" ht="12.75">
      <c r="A835" s="5"/>
      <c r="B835" s="5"/>
      <c r="C835" s="14"/>
      <c r="D835" s="14"/>
      <c r="E835" s="14"/>
      <c r="F835" s="14"/>
      <c r="G835" s="1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</row>
    <row r="836" spans="1:18" ht="12.75">
      <c r="A836" s="5"/>
      <c r="B836" s="5"/>
      <c r="C836" s="14"/>
      <c r="D836" s="14"/>
      <c r="E836" s="14"/>
      <c r="F836" s="14"/>
      <c r="G836" s="1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</row>
    <row r="837" spans="1:18" ht="12.75">
      <c r="A837" s="5"/>
      <c r="B837" s="5"/>
      <c r="C837" s="14"/>
      <c r="D837" s="14"/>
      <c r="E837" s="14"/>
      <c r="F837" s="14"/>
      <c r="G837" s="1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</row>
    <row r="838" spans="1:18" ht="12.75">
      <c r="A838" s="5"/>
      <c r="B838" s="5"/>
      <c r="C838" s="14"/>
      <c r="D838" s="14"/>
      <c r="E838" s="14"/>
      <c r="F838" s="14"/>
      <c r="G838" s="1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</row>
    <row r="839" spans="1:18" ht="12.75">
      <c r="A839" s="5"/>
      <c r="B839" s="5"/>
      <c r="C839" s="14"/>
      <c r="D839" s="14"/>
      <c r="E839" s="14"/>
      <c r="F839" s="14"/>
      <c r="G839" s="1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</row>
    <row r="840" spans="1:18" ht="12.75">
      <c r="A840" s="5"/>
      <c r="B840" s="5"/>
      <c r="C840" s="14"/>
      <c r="D840" s="14"/>
      <c r="E840" s="14"/>
      <c r="F840" s="14"/>
      <c r="G840" s="1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</row>
    <row r="841" spans="1:18" ht="12.75">
      <c r="A841" s="5"/>
      <c r="B841" s="5"/>
      <c r="C841" s="14"/>
      <c r="D841" s="14"/>
      <c r="E841" s="14"/>
      <c r="F841" s="14"/>
      <c r="G841" s="1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</row>
    <row r="842" spans="1:18" ht="12.75">
      <c r="A842" s="5"/>
      <c r="B842" s="5"/>
      <c r="C842" s="14"/>
      <c r="D842" s="14"/>
      <c r="E842" s="14"/>
      <c r="F842" s="14"/>
      <c r="G842" s="1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</row>
    <row r="843" spans="1:18" ht="12.75">
      <c r="A843" s="5"/>
      <c r="B843" s="5"/>
      <c r="C843" s="14"/>
      <c r="D843" s="14"/>
      <c r="E843" s="14"/>
      <c r="F843" s="14"/>
      <c r="G843" s="1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</row>
    <row r="844" spans="1:18" ht="12.75">
      <c r="A844" s="5"/>
      <c r="B844" s="5"/>
      <c r="C844" s="14"/>
      <c r="D844" s="14"/>
      <c r="E844" s="14"/>
      <c r="F844" s="14"/>
      <c r="G844" s="1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</row>
    <row r="845" spans="1:18" ht="12.75">
      <c r="A845" s="5"/>
      <c r="B845" s="5"/>
      <c r="C845" s="14"/>
      <c r="D845" s="14"/>
      <c r="E845" s="14"/>
      <c r="F845" s="14"/>
      <c r="G845" s="1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</row>
    <row r="846" spans="1:18" ht="12.75">
      <c r="A846" s="5"/>
      <c r="B846" s="5"/>
      <c r="C846" s="14"/>
      <c r="D846" s="14"/>
      <c r="E846" s="14"/>
      <c r="F846" s="14"/>
      <c r="G846" s="1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</row>
    <row r="847" spans="1:18" ht="12.75">
      <c r="A847" s="5"/>
      <c r="B847" s="5"/>
      <c r="C847" s="14"/>
      <c r="D847" s="14"/>
      <c r="E847" s="14"/>
      <c r="F847" s="14"/>
      <c r="G847" s="1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</row>
    <row r="848" spans="1:18" ht="12.75">
      <c r="A848" s="5"/>
      <c r="B848" s="5"/>
      <c r="C848" s="14"/>
      <c r="D848" s="14"/>
      <c r="E848" s="14"/>
      <c r="F848" s="14"/>
      <c r="G848" s="1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</row>
    <row r="849" spans="1:18" ht="12.75">
      <c r="A849" s="5"/>
      <c r="B849" s="5"/>
      <c r="C849" s="14"/>
      <c r="D849" s="14"/>
      <c r="E849" s="14"/>
      <c r="F849" s="14"/>
      <c r="G849" s="1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</row>
    <row r="850" spans="1:18" ht="12.75">
      <c r="A850" s="5"/>
      <c r="B850" s="5"/>
      <c r="C850" s="14"/>
      <c r="D850" s="14"/>
      <c r="E850" s="14"/>
      <c r="F850" s="14"/>
      <c r="G850" s="1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</row>
    <row r="851" spans="1:18" ht="12.75">
      <c r="A851" s="5"/>
      <c r="B851" s="5"/>
      <c r="C851" s="14"/>
      <c r="D851" s="14"/>
      <c r="E851" s="14"/>
      <c r="F851" s="14"/>
      <c r="G851" s="1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</row>
    <row r="852" spans="1:18" ht="12.75">
      <c r="A852" s="5"/>
      <c r="B852" s="5"/>
      <c r="C852" s="14"/>
      <c r="D852" s="14"/>
      <c r="E852" s="14"/>
      <c r="F852" s="14"/>
      <c r="G852" s="1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</row>
    <row r="853" spans="1:18" ht="12.75">
      <c r="A853" s="5"/>
      <c r="B853" s="5"/>
      <c r="C853" s="14"/>
      <c r="D853" s="14"/>
      <c r="E853" s="14"/>
      <c r="F853" s="14"/>
      <c r="G853" s="1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</row>
    <row r="854" spans="1:18" ht="12.75">
      <c r="A854" s="5"/>
      <c r="B854" s="5"/>
      <c r="C854" s="14"/>
      <c r="D854" s="14"/>
      <c r="E854" s="14"/>
      <c r="F854" s="14"/>
      <c r="G854" s="1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</row>
    <row r="855" spans="1:18" ht="12.75">
      <c r="A855" s="5"/>
      <c r="B855" s="5"/>
      <c r="C855" s="14"/>
      <c r="D855" s="14"/>
      <c r="E855" s="14"/>
      <c r="F855" s="14"/>
      <c r="G855" s="1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</row>
    <row r="856" spans="1:18" ht="12.75">
      <c r="A856" s="5"/>
      <c r="B856" s="5"/>
      <c r="C856" s="14"/>
      <c r="D856" s="14"/>
      <c r="E856" s="14"/>
      <c r="F856" s="14"/>
      <c r="G856" s="1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</row>
    <row r="857" spans="1:18" ht="12.75">
      <c r="A857" s="5"/>
      <c r="B857" s="5"/>
      <c r="C857" s="14"/>
      <c r="D857" s="14"/>
      <c r="E857" s="14"/>
      <c r="F857" s="14"/>
      <c r="G857" s="1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</row>
    <row r="858" spans="1:18" ht="12.75">
      <c r="A858" s="5"/>
      <c r="B858" s="5"/>
      <c r="C858" s="14"/>
      <c r="D858" s="14"/>
      <c r="E858" s="14"/>
      <c r="F858" s="14"/>
      <c r="G858" s="1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</row>
    <row r="859" spans="1:18" ht="12.75">
      <c r="A859" s="5"/>
      <c r="B859" s="5"/>
      <c r="C859" s="14"/>
      <c r="D859" s="14"/>
      <c r="E859" s="14"/>
      <c r="F859" s="14"/>
      <c r="G859" s="1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</row>
    <row r="860" spans="1:18" ht="12.75">
      <c r="A860" s="5"/>
      <c r="B860" s="5"/>
      <c r="C860" s="14"/>
      <c r="D860" s="14"/>
      <c r="E860" s="14"/>
      <c r="F860" s="14"/>
      <c r="G860" s="1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</row>
    <row r="861" spans="1:18" ht="12.75">
      <c r="A861" s="5"/>
      <c r="B861" s="5"/>
      <c r="C861" s="14"/>
      <c r="D861" s="14"/>
      <c r="E861" s="14"/>
      <c r="F861" s="14"/>
      <c r="G861" s="1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</row>
    <row r="862" spans="1:18" ht="12.75">
      <c r="A862" s="5"/>
      <c r="B862" s="5"/>
      <c r="C862" s="14"/>
      <c r="D862" s="14"/>
      <c r="E862" s="14"/>
      <c r="F862" s="14"/>
      <c r="G862" s="1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</row>
    <row r="863" spans="1:18" ht="12.75">
      <c r="A863" s="5"/>
      <c r="B863" s="5"/>
      <c r="C863" s="14"/>
      <c r="D863" s="14"/>
      <c r="E863" s="14"/>
      <c r="F863" s="14"/>
      <c r="G863" s="1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</row>
    <row r="864" spans="1:18" ht="12.75">
      <c r="A864" s="5"/>
      <c r="B864" s="5"/>
      <c r="C864" s="14"/>
      <c r="D864" s="14"/>
      <c r="E864" s="14"/>
      <c r="F864" s="14"/>
      <c r="G864" s="1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</row>
    <row r="865" spans="1:18" ht="12.75">
      <c r="A865" s="5"/>
      <c r="B865" s="5"/>
      <c r="C865" s="14"/>
      <c r="D865" s="14"/>
      <c r="E865" s="14"/>
      <c r="F865" s="14"/>
      <c r="G865" s="1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</row>
    <row r="866" spans="1:18" ht="12.75">
      <c r="A866" s="5"/>
      <c r="B866" s="5"/>
      <c r="C866" s="14"/>
      <c r="D866" s="14"/>
      <c r="E866" s="14"/>
      <c r="F866" s="14"/>
      <c r="G866" s="1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</row>
    <row r="867" spans="1:18" ht="12.75">
      <c r="A867" s="5"/>
      <c r="B867" s="5"/>
      <c r="C867" s="14"/>
      <c r="D867" s="14"/>
      <c r="E867" s="14"/>
      <c r="F867" s="14"/>
      <c r="G867" s="1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</row>
    <row r="868" spans="1:18" ht="12.75">
      <c r="A868" s="5"/>
      <c r="B868" s="5"/>
      <c r="C868" s="14"/>
      <c r="D868" s="14"/>
      <c r="E868" s="14"/>
      <c r="F868" s="14"/>
      <c r="G868" s="1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</row>
    <row r="869" spans="1:18" ht="12.75">
      <c r="A869" s="5"/>
      <c r="B869" s="5"/>
      <c r="C869" s="14"/>
      <c r="D869" s="14"/>
      <c r="E869" s="14"/>
      <c r="F869" s="14"/>
      <c r="G869" s="1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</row>
    <row r="870" spans="1:18" ht="12.75">
      <c r="A870" s="5"/>
      <c r="B870" s="5"/>
      <c r="C870" s="14"/>
      <c r="D870" s="14"/>
      <c r="E870" s="14"/>
      <c r="F870" s="14"/>
      <c r="G870" s="1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</row>
    <row r="871" spans="1:18" ht="12.75">
      <c r="A871" s="5"/>
      <c r="B871" s="5"/>
      <c r="C871" s="14"/>
      <c r="D871" s="14"/>
      <c r="E871" s="14"/>
      <c r="F871" s="14"/>
      <c r="G871" s="1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</row>
    <row r="872" spans="1:18" ht="12.75">
      <c r="A872" s="5"/>
      <c r="B872" s="5"/>
      <c r="C872" s="14"/>
      <c r="D872" s="14"/>
      <c r="E872" s="14"/>
      <c r="F872" s="14"/>
      <c r="G872" s="1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</row>
    <row r="873" spans="1:18" ht="12.75">
      <c r="A873" s="5"/>
      <c r="B873" s="5"/>
      <c r="C873" s="14"/>
      <c r="D873" s="14"/>
      <c r="E873" s="14"/>
      <c r="F873" s="14"/>
      <c r="G873" s="1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</row>
    <row r="874" spans="1:18" ht="12.75">
      <c r="A874" s="5"/>
      <c r="B874" s="5"/>
      <c r="C874" s="14"/>
      <c r="D874" s="14"/>
      <c r="E874" s="14"/>
      <c r="F874" s="14"/>
      <c r="G874" s="1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</row>
    <row r="875" spans="1:18" ht="12.75">
      <c r="A875" s="5"/>
      <c r="B875" s="5"/>
      <c r="C875" s="14"/>
      <c r="D875" s="14"/>
      <c r="E875" s="14"/>
      <c r="F875" s="14"/>
      <c r="G875" s="1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</row>
    <row r="876" spans="1:18" ht="12.75">
      <c r="A876" s="5"/>
      <c r="B876" s="5"/>
      <c r="C876" s="14"/>
      <c r="D876" s="14"/>
      <c r="E876" s="14"/>
      <c r="F876" s="14"/>
      <c r="G876" s="1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</row>
    <row r="877" spans="1:18" ht="12.75">
      <c r="A877" s="5"/>
      <c r="B877" s="5"/>
      <c r="C877" s="14"/>
      <c r="D877" s="14"/>
      <c r="E877" s="14"/>
      <c r="F877" s="14"/>
      <c r="G877" s="1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</row>
    <row r="878" spans="1:18" ht="12.75">
      <c r="A878" s="5"/>
      <c r="B878" s="5"/>
      <c r="C878" s="14"/>
      <c r="D878" s="14"/>
      <c r="E878" s="14"/>
      <c r="F878" s="14"/>
      <c r="G878" s="1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</row>
    <row r="879" spans="1:18" ht="12.75">
      <c r="A879" s="5"/>
      <c r="B879" s="5"/>
      <c r="C879" s="14"/>
      <c r="D879" s="14"/>
      <c r="E879" s="14"/>
      <c r="F879" s="14"/>
      <c r="G879" s="1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</row>
    <row r="880" spans="1:18" ht="12.75">
      <c r="A880" s="5"/>
      <c r="B880" s="5"/>
      <c r="C880" s="14"/>
      <c r="D880" s="14"/>
      <c r="E880" s="14"/>
      <c r="F880" s="14"/>
      <c r="G880" s="1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</row>
    <row r="881" spans="1:18" ht="12.75">
      <c r="A881" s="5"/>
      <c r="B881" s="5"/>
      <c r="C881" s="14"/>
      <c r="D881" s="14"/>
      <c r="E881" s="14"/>
      <c r="F881" s="14"/>
      <c r="G881" s="1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</row>
    <row r="882" spans="1:18" ht="12.75">
      <c r="A882" s="5"/>
      <c r="B882" s="5"/>
      <c r="C882" s="14"/>
      <c r="D882" s="14"/>
      <c r="E882" s="14"/>
      <c r="F882" s="14"/>
      <c r="G882" s="1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</row>
    <row r="883" spans="1:18" ht="12.75">
      <c r="A883" s="5"/>
      <c r="B883" s="5"/>
      <c r="C883" s="14"/>
      <c r="D883" s="14"/>
      <c r="E883" s="14"/>
      <c r="F883" s="14"/>
      <c r="G883" s="1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</row>
    <row r="884" spans="1:18" ht="12.75">
      <c r="A884" s="5"/>
      <c r="B884" s="5"/>
      <c r="C884" s="14"/>
      <c r="D884" s="14"/>
      <c r="E884" s="14"/>
      <c r="F884" s="14"/>
      <c r="G884" s="1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</row>
    <row r="885" spans="1:18" ht="12.75">
      <c r="A885" s="5"/>
      <c r="B885" s="5"/>
      <c r="C885" s="14"/>
      <c r="D885" s="14"/>
      <c r="E885" s="14"/>
      <c r="F885" s="14"/>
      <c r="G885" s="1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</row>
    <row r="886" spans="1:18" ht="12.75">
      <c r="A886" s="5"/>
      <c r="B886" s="5"/>
      <c r="C886" s="14"/>
      <c r="D886" s="14"/>
      <c r="E886" s="14"/>
      <c r="F886" s="14"/>
      <c r="G886" s="1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</row>
    <row r="887" spans="1:18" ht="12.75">
      <c r="A887" s="5"/>
      <c r="B887" s="5"/>
      <c r="C887" s="14"/>
      <c r="D887" s="14"/>
      <c r="E887" s="14"/>
      <c r="F887" s="14"/>
      <c r="G887" s="1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</row>
    <row r="888" spans="1:18" ht="12.75">
      <c r="A888" s="5"/>
      <c r="B888" s="5"/>
      <c r="C888" s="14"/>
      <c r="D888" s="14"/>
      <c r="E888" s="14"/>
      <c r="F888" s="14"/>
      <c r="G888" s="1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</row>
    <row r="889" spans="1:18" ht="12.75">
      <c r="A889" s="5"/>
      <c r="B889" s="5"/>
      <c r="C889" s="14"/>
      <c r="D889" s="14"/>
      <c r="E889" s="14"/>
      <c r="F889" s="14"/>
      <c r="G889" s="1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</row>
    <row r="890" spans="1:18" ht="12.75">
      <c r="A890" s="5"/>
      <c r="B890" s="5"/>
      <c r="C890" s="14"/>
      <c r="D890" s="14"/>
      <c r="E890" s="14"/>
      <c r="F890" s="14"/>
      <c r="G890" s="1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</row>
    <row r="891" spans="1:18" ht="12.75">
      <c r="A891" s="5"/>
      <c r="B891" s="5"/>
      <c r="C891" s="14"/>
      <c r="D891" s="14"/>
      <c r="E891" s="14"/>
      <c r="F891" s="14"/>
      <c r="G891" s="1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</row>
    <row r="892" spans="1:18" ht="12.75">
      <c r="A892" s="5"/>
      <c r="B892" s="5"/>
      <c r="C892" s="14"/>
      <c r="D892" s="14"/>
      <c r="E892" s="14"/>
      <c r="F892" s="14"/>
      <c r="G892" s="1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</row>
    <row r="893" spans="1:18" ht="12.75">
      <c r="A893" s="5"/>
      <c r="B893" s="5"/>
      <c r="C893" s="14"/>
      <c r="D893" s="14"/>
      <c r="E893" s="14"/>
      <c r="F893" s="14"/>
      <c r="G893" s="1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</row>
    <row r="894" spans="1:18" ht="12.75">
      <c r="A894" s="5"/>
      <c r="B894" s="5"/>
      <c r="C894" s="14"/>
      <c r="D894" s="14"/>
      <c r="E894" s="14"/>
      <c r="F894" s="14"/>
      <c r="G894" s="1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</row>
    <row r="895" spans="1:18" ht="12.75">
      <c r="A895" s="5"/>
      <c r="B895" s="5"/>
      <c r="C895" s="14"/>
      <c r="D895" s="14"/>
      <c r="E895" s="14"/>
      <c r="F895" s="14"/>
      <c r="G895" s="1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</row>
    <row r="896" spans="1:18" ht="12.75">
      <c r="A896" s="5"/>
      <c r="B896" s="5"/>
      <c r="C896" s="14"/>
      <c r="D896" s="14"/>
      <c r="E896" s="14"/>
      <c r="F896" s="14"/>
      <c r="G896" s="1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</row>
    <row r="897" spans="1:18" ht="12.75">
      <c r="A897" s="5"/>
      <c r="B897" s="5"/>
      <c r="C897" s="14"/>
      <c r="D897" s="14"/>
      <c r="E897" s="14"/>
      <c r="F897" s="14"/>
      <c r="G897" s="1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</row>
    <row r="898" spans="1:18" ht="12.75">
      <c r="A898" s="5"/>
      <c r="B898" s="5"/>
      <c r="C898" s="14"/>
      <c r="D898" s="14"/>
      <c r="E898" s="14"/>
      <c r="F898" s="14"/>
      <c r="G898" s="1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</row>
    <row r="899" spans="1:18" ht="12.75">
      <c r="A899" s="5"/>
      <c r="B899" s="5"/>
      <c r="C899" s="14"/>
      <c r="D899" s="14"/>
      <c r="E899" s="14"/>
      <c r="F899" s="14"/>
      <c r="G899" s="1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</row>
    <row r="900" spans="1:18" ht="12.75">
      <c r="A900" s="5"/>
      <c r="B900" s="5"/>
      <c r="C900" s="14"/>
      <c r="D900" s="14"/>
      <c r="E900" s="14"/>
      <c r="F900" s="14"/>
      <c r="G900" s="1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</row>
    <row r="901" spans="1:18" ht="12.75">
      <c r="A901" s="5"/>
      <c r="B901" s="5"/>
      <c r="C901" s="14"/>
      <c r="D901" s="14"/>
      <c r="E901" s="14"/>
      <c r="F901" s="14"/>
      <c r="G901" s="1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</row>
    <row r="902" spans="1:18" ht="12.75">
      <c r="A902" s="5"/>
      <c r="B902" s="5"/>
      <c r="C902" s="14"/>
      <c r="D902" s="14"/>
      <c r="E902" s="14"/>
      <c r="F902" s="14"/>
      <c r="G902" s="1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</row>
    <row r="903" spans="1:18" ht="12.75">
      <c r="A903" s="5"/>
      <c r="B903" s="5"/>
      <c r="C903" s="14"/>
      <c r="D903" s="14"/>
      <c r="E903" s="14"/>
      <c r="F903" s="14"/>
      <c r="G903" s="1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</row>
    <row r="904" spans="1:18" ht="12.75">
      <c r="A904" s="5"/>
      <c r="B904" s="5"/>
      <c r="C904" s="14"/>
      <c r="D904" s="14"/>
      <c r="E904" s="14"/>
      <c r="F904" s="14"/>
      <c r="G904" s="1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</row>
    <row r="905" spans="1:18" ht="12.75">
      <c r="A905" s="5"/>
      <c r="B905" s="5"/>
      <c r="C905" s="14"/>
      <c r="D905" s="14"/>
      <c r="E905" s="14"/>
      <c r="F905" s="14"/>
      <c r="G905" s="1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</row>
    <row r="906" spans="1:18" ht="12.75">
      <c r="A906" s="5"/>
      <c r="B906" s="5"/>
      <c r="C906" s="14"/>
      <c r="D906" s="14"/>
      <c r="E906" s="14"/>
      <c r="F906" s="14"/>
      <c r="G906" s="1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</row>
    <row r="907" spans="1:18" ht="12.75">
      <c r="A907" s="5"/>
      <c r="B907" s="5"/>
      <c r="C907" s="14"/>
      <c r="D907" s="14"/>
      <c r="E907" s="14"/>
      <c r="F907" s="14"/>
      <c r="G907" s="1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</row>
    <row r="908" spans="1:18" ht="12.75">
      <c r="A908" s="5"/>
      <c r="B908" s="5"/>
      <c r="C908" s="14"/>
      <c r="D908" s="14"/>
      <c r="E908" s="14"/>
      <c r="F908" s="14"/>
      <c r="G908" s="1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</row>
    <row r="909" spans="1:18" ht="12.75">
      <c r="A909" s="5"/>
      <c r="B909" s="5"/>
      <c r="C909" s="14"/>
      <c r="D909" s="14"/>
      <c r="E909" s="14"/>
      <c r="F909" s="14"/>
      <c r="G909" s="1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</row>
    <row r="910" spans="1:18" ht="12.75">
      <c r="A910" s="5"/>
      <c r="B910" s="5"/>
      <c r="C910" s="14"/>
      <c r="D910" s="14"/>
      <c r="E910" s="14"/>
      <c r="F910" s="14"/>
      <c r="G910" s="1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</row>
    <row r="911" spans="1:18" ht="12.75">
      <c r="A911" s="5"/>
      <c r="B911" s="5"/>
      <c r="C911" s="14"/>
      <c r="D911" s="14"/>
      <c r="E911" s="14"/>
      <c r="F911" s="14"/>
      <c r="G911" s="1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</row>
    <row r="912" spans="1:18" ht="12.75">
      <c r="A912" s="5"/>
      <c r="B912" s="5"/>
      <c r="C912" s="14"/>
      <c r="D912" s="14"/>
      <c r="E912" s="14"/>
      <c r="F912" s="14"/>
      <c r="G912" s="1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</row>
    <row r="913" spans="1:18" ht="12.75">
      <c r="A913" s="5"/>
      <c r="B913" s="5"/>
      <c r="C913" s="14"/>
      <c r="D913" s="14"/>
      <c r="E913" s="14"/>
      <c r="F913" s="14"/>
      <c r="G913" s="1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</row>
    <row r="914" spans="1:18" ht="12.75">
      <c r="A914" s="5"/>
      <c r="B914" s="5"/>
      <c r="C914" s="14"/>
      <c r="D914" s="14"/>
      <c r="E914" s="14"/>
      <c r="F914" s="14"/>
      <c r="G914" s="1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</row>
    <row r="915" spans="1:18" ht="12.75">
      <c r="A915" s="5"/>
      <c r="B915" s="5"/>
      <c r="C915" s="14"/>
      <c r="D915" s="14"/>
      <c r="E915" s="14"/>
      <c r="F915" s="14"/>
      <c r="G915" s="1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</row>
    <row r="916" spans="1:18" ht="12.75">
      <c r="A916" s="5"/>
      <c r="B916" s="5"/>
      <c r="C916" s="14"/>
      <c r="D916" s="14"/>
      <c r="E916" s="14"/>
      <c r="F916" s="14"/>
      <c r="G916" s="1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</row>
    <row r="917" spans="1:18" ht="12.75">
      <c r="A917" s="5"/>
      <c r="B917" s="5"/>
      <c r="C917" s="14"/>
      <c r="D917" s="14"/>
      <c r="E917" s="14"/>
      <c r="F917" s="14"/>
      <c r="G917" s="1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</row>
    <row r="918" spans="1:18" ht="12.75">
      <c r="A918" s="5"/>
      <c r="B918" s="5"/>
      <c r="C918" s="14"/>
      <c r="D918" s="14"/>
      <c r="E918" s="14"/>
      <c r="F918" s="14"/>
      <c r="G918" s="1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</row>
    <row r="919" spans="1:18" ht="12.75">
      <c r="A919" s="5"/>
      <c r="B919" s="5"/>
      <c r="C919" s="14"/>
      <c r="D919" s="14"/>
      <c r="E919" s="14"/>
      <c r="F919" s="14"/>
      <c r="G919" s="1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</row>
    <row r="920" spans="1:18" ht="12.75">
      <c r="A920" s="5"/>
      <c r="B920" s="5"/>
      <c r="C920" s="14"/>
      <c r="D920" s="14"/>
      <c r="E920" s="14"/>
      <c r="F920" s="14"/>
      <c r="G920" s="1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</row>
    <row r="921" spans="1:18" ht="12.75">
      <c r="A921" s="5"/>
      <c r="B921" s="5"/>
      <c r="C921" s="14"/>
      <c r="D921" s="14"/>
      <c r="E921" s="14"/>
      <c r="F921" s="14"/>
      <c r="G921" s="1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</row>
    <row r="922" spans="1:18" ht="12.75">
      <c r="A922" s="5"/>
      <c r="B922" s="5"/>
      <c r="C922" s="14"/>
      <c r="D922" s="14"/>
      <c r="E922" s="14"/>
      <c r="F922" s="14"/>
      <c r="G922" s="1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</row>
    <row r="923" spans="1:18" ht="12.75">
      <c r="A923" s="5"/>
      <c r="B923" s="5"/>
      <c r="C923" s="14"/>
      <c r="D923" s="14"/>
      <c r="E923" s="14"/>
      <c r="F923" s="14"/>
      <c r="G923" s="1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</row>
    <row r="924" spans="1:18" ht="12.75">
      <c r="A924" s="5"/>
      <c r="B924" s="5"/>
      <c r="C924" s="14"/>
      <c r="D924" s="14"/>
      <c r="E924" s="14"/>
      <c r="F924" s="14"/>
      <c r="G924" s="1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</row>
    <row r="925" spans="1:18" ht="12.75">
      <c r="A925" s="5"/>
      <c r="B925" s="5"/>
      <c r="C925" s="14"/>
      <c r="D925" s="14"/>
      <c r="E925" s="14"/>
      <c r="F925" s="14"/>
      <c r="G925" s="1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</row>
    <row r="926" spans="1:18" ht="12.75">
      <c r="A926" s="5"/>
      <c r="B926" s="5"/>
      <c r="C926" s="14"/>
      <c r="D926" s="14"/>
      <c r="E926" s="14"/>
      <c r="F926" s="14"/>
      <c r="G926" s="1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</row>
    <row r="927" spans="1:18" ht="12.75">
      <c r="A927" s="5"/>
      <c r="B927" s="5"/>
      <c r="C927" s="14"/>
      <c r="D927" s="14"/>
      <c r="E927" s="14"/>
      <c r="F927" s="14"/>
      <c r="G927" s="1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</row>
    <row r="928" spans="1:18" ht="12.75">
      <c r="A928" s="5"/>
      <c r="B928" s="5"/>
      <c r="C928" s="14"/>
      <c r="D928" s="14"/>
      <c r="E928" s="14"/>
      <c r="F928" s="14"/>
      <c r="G928" s="1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</row>
    <row r="929" spans="1:18" ht="12.75">
      <c r="A929" s="5"/>
      <c r="B929" s="5"/>
      <c r="C929" s="14"/>
      <c r="D929" s="14"/>
      <c r="E929" s="14"/>
      <c r="F929" s="14"/>
      <c r="G929" s="1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</row>
    <row r="930" spans="1:18" ht="12.75">
      <c r="A930" s="5"/>
      <c r="B930" s="5"/>
      <c r="C930" s="14"/>
      <c r="D930" s="14"/>
      <c r="E930" s="14"/>
      <c r="F930" s="14"/>
      <c r="G930" s="1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</row>
    <row r="931" spans="1:18" ht="12.75">
      <c r="A931" s="5"/>
      <c r="B931" s="5"/>
      <c r="C931" s="14"/>
      <c r="D931" s="14"/>
      <c r="E931" s="14"/>
      <c r="F931" s="14"/>
      <c r="G931" s="1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</row>
    <row r="932" spans="1:18" ht="12.75">
      <c r="A932" s="5"/>
      <c r="B932" s="5"/>
      <c r="C932" s="14"/>
      <c r="D932" s="14"/>
      <c r="E932" s="14"/>
      <c r="F932" s="14"/>
      <c r="G932" s="1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</row>
    <row r="933" spans="1:18" ht="12.75">
      <c r="A933" s="5"/>
      <c r="B933" s="5"/>
      <c r="C933" s="14"/>
      <c r="D933" s="14"/>
      <c r="E933" s="14"/>
      <c r="F933" s="14"/>
      <c r="G933" s="1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</row>
    <row r="934" spans="1:18" ht="12.75">
      <c r="A934" s="5"/>
      <c r="B934" s="5"/>
      <c r="C934" s="14"/>
      <c r="D934" s="14"/>
      <c r="E934" s="14"/>
      <c r="F934" s="14"/>
      <c r="G934" s="1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</row>
    <row r="935" spans="1:18" ht="12.75">
      <c r="A935" s="5"/>
      <c r="B935" s="5"/>
      <c r="C935" s="14"/>
      <c r="D935" s="14"/>
      <c r="E935" s="14"/>
      <c r="F935" s="14"/>
      <c r="G935" s="1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</row>
    <row r="936" spans="1:18" ht="12.75">
      <c r="A936" s="5"/>
      <c r="B936" s="5"/>
      <c r="C936" s="14"/>
      <c r="D936" s="14"/>
      <c r="E936" s="14"/>
      <c r="F936" s="14"/>
      <c r="G936" s="1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</row>
    <row r="937" spans="1:18" ht="12.75">
      <c r="A937" s="5"/>
      <c r="B937" s="5"/>
      <c r="C937" s="14"/>
      <c r="D937" s="14"/>
      <c r="E937" s="14"/>
      <c r="F937" s="14"/>
      <c r="G937" s="1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</row>
    <row r="938" spans="1:18" ht="12.75">
      <c r="A938" s="5"/>
      <c r="B938" s="5"/>
      <c r="C938" s="14"/>
      <c r="D938" s="14"/>
      <c r="E938" s="14"/>
      <c r="F938" s="14"/>
      <c r="G938" s="1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</row>
    <row r="939" spans="1:18" ht="12.75">
      <c r="A939" s="5"/>
      <c r="B939" s="5"/>
      <c r="C939" s="14"/>
      <c r="D939" s="14"/>
      <c r="E939" s="14"/>
      <c r="F939" s="14"/>
      <c r="G939" s="1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</row>
    <row r="940" spans="1:18" ht="12.75">
      <c r="A940" s="5"/>
      <c r="B940" s="5"/>
      <c r="C940" s="14"/>
      <c r="D940" s="14"/>
      <c r="E940" s="14"/>
      <c r="F940" s="14"/>
      <c r="G940" s="1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</row>
    <row r="941" spans="1:18" ht="12.75">
      <c r="A941" s="5"/>
      <c r="B941" s="5"/>
      <c r="C941" s="14"/>
      <c r="D941" s="14"/>
      <c r="E941" s="14"/>
      <c r="F941" s="14"/>
      <c r="G941" s="1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</row>
    <row r="942" spans="1:18" ht="12.75">
      <c r="A942" s="5"/>
      <c r="B942" s="5"/>
      <c r="C942" s="14"/>
      <c r="D942" s="14"/>
      <c r="E942" s="14"/>
      <c r="F942" s="14"/>
      <c r="G942" s="1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</row>
    <row r="943" spans="1:18" ht="12.75">
      <c r="A943" s="5"/>
      <c r="B943" s="5"/>
      <c r="C943" s="14"/>
      <c r="D943" s="14"/>
      <c r="E943" s="14"/>
      <c r="F943" s="14"/>
      <c r="G943" s="1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</row>
    <row r="944" spans="1:18" ht="12.75">
      <c r="A944" s="5"/>
      <c r="B944" s="5"/>
      <c r="C944" s="14"/>
      <c r="D944" s="14"/>
      <c r="E944" s="14"/>
      <c r="F944" s="14"/>
      <c r="G944" s="1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</row>
    <row r="945" spans="1:18" ht="12.75">
      <c r="A945" s="5"/>
      <c r="B945" s="5"/>
      <c r="C945" s="14"/>
      <c r="D945" s="14"/>
      <c r="E945" s="14"/>
      <c r="F945" s="14"/>
      <c r="G945" s="1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</row>
    <row r="946" spans="1:18" ht="12.75">
      <c r="A946" s="5"/>
      <c r="B946" s="5"/>
      <c r="C946" s="14"/>
      <c r="D946" s="14"/>
      <c r="E946" s="14"/>
      <c r="F946" s="14"/>
      <c r="G946" s="1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</row>
    <row r="947" spans="1:18" ht="12.75">
      <c r="A947" s="5"/>
      <c r="B947" s="5"/>
      <c r="C947" s="14"/>
      <c r="D947" s="14"/>
      <c r="E947" s="14"/>
      <c r="F947" s="14"/>
      <c r="G947" s="1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</row>
    <row r="948" spans="1:18" ht="12.75">
      <c r="A948" s="5"/>
      <c r="B948" s="5"/>
      <c r="C948" s="14"/>
      <c r="D948" s="14"/>
      <c r="E948" s="14"/>
      <c r="F948" s="14"/>
      <c r="G948" s="1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</row>
    <row r="949" spans="1:18" ht="12.75">
      <c r="A949" s="5"/>
      <c r="B949" s="5"/>
      <c r="C949" s="14"/>
      <c r="D949" s="14"/>
      <c r="E949" s="14"/>
      <c r="F949" s="14"/>
      <c r="G949" s="1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</row>
    <row r="950" spans="1:18" ht="12.75">
      <c r="A950" s="5"/>
      <c r="B950" s="5"/>
      <c r="C950" s="14"/>
      <c r="D950" s="14"/>
      <c r="E950" s="14"/>
      <c r="F950" s="14"/>
      <c r="G950" s="1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</row>
    <row r="951" spans="1:18" ht="12.75">
      <c r="A951" s="5"/>
      <c r="B951" s="5"/>
      <c r="C951" s="14"/>
      <c r="D951" s="14"/>
      <c r="E951" s="14"/>
      <c r="F951" s="14"/>
      <c r="G951" s="1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</row>
    <row r="952" spans="1:18" ht="12.75">
      <c r="A952" s="5"/>
      <c r="B952" s="5"/>
      <c r="C952" s="14"/>
      <c r="D952" s="14"/>
      <c r="E952" s="14"/>
      <c r="F952" s="14"/>
      <c r="G952" s="1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</row>
    <row r="953" spans="1:18" ht="12.75">
      <c r="A953" s="5"/>
      <c r="B953" s="5"/>
      <c r="C953" s="14"/>
      <c r="D953" s="14"/>
      <c r="E953" s="14"/>
      <c r="F953" s="14"/>
      <c r="G953" s="1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</row>
    <row r="954" spans="1:18" ht="12.75">
      <c r="A954" s="5"/>
      <c r="B954" s="5"/>
      <c r="C954" s="14"/>
      <c r="D954" s="14"/>
      <c r="E954" s="14"/>
      <c r="F954" s="14"/>
      <c r="G954" s="1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</row>
    <row r="955" spans="1:18" ht="12.75">
      <c r="A955" s="5"/>
      <c r="B955" s="5"/>
      <c r="C955" s="14"/>
      <c r="D955" s="14"/>
      <c r="E955" s="14"/>
      <c r="F955" s="14"/>
      <c r="G955" s="1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</row>
    <row r="956" spans="1:18" ht="12.75">
      <c r="A956" s="5"/>
      <c r="B956" s="5"/>
      <c r="C956" s="14"/>
      <c r="D956" s="14"/>
      <c r="E956" s="14"/>
      <c r="F956" s="14"/>
      <c r="G956" s="1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</row>
    <row r="957" spans="1:18" ht="12.75">
      <c r="A957" s="5"/>
      <c r="B957" s="5"/>
      <c r="C957" s="14"/>
      <c r="D957" s="14"/>
      <c r="E957" s="14"/>
      <c r="F957" s="14"/>
      <c r="G957" s="1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</row>
    <row r="958" spans="1:18" ht="12.75">
      <c r="A958" s="5"/>
      <c r="B958" s="5"/>
      <c r="C958" s="14"/>
      <c r="D958" s="14"/>
      <c r="E958" s="14"/>
      <c r="F958" s="14"/>
      <c r="G958" s="1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</row>
    <row r="959" spans="1:18" ht="12.75">
      <c r="A959" s="5"/>
      <c r="B959" s="5"/>
      <c r="C959" s="14"/>
      <c r="D959" s="14"/>
      <c r="E959" s="14"/>
      <c r="F959" s="14"/>
      <c r="G959" s="1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</row>
    <row r="960" spans="1:18" ht="12.75">
      <c r="A960" s="5"/>
      <c r="B960" s="5"/>
      <c r="C960" s="14"/>
      <c r="D960" s="14"/>
      <c r="E960" s="14"/>
      <c r="F960" s="14"/>
      <c r="G960" s="1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</row>
    <row r="961" spans="1:18" ht="12.75">
      <c r="A961" s="5"/>
      <c r="B961" s="5"/>
      <c r="C961" s="14"/>
      <c r="D961" s="14"/>
      <c r="E961" s="14"/>
      <c r="F961" s="14"/>
      <c r="G961" s="1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</row>
    <row r="962" spans="1:18" ht="12.75">
      <c r="A962" s="5"/>
      <c r="B962" s="5"/>
      <c r="C962" s="14"/>
      <c r="D962" s="14"/>
      <c r="E962" s="14"/>
      <c r="F962" s="14"/>
      <c r="G962" s="1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</row>
    <row r="963" spans="1:18" ht="12.75">
      <c r="A963" s="5"/>
      <c r="B963" s="5"/>
      <c r="C963" s="14"/>
      <c r="D963" s="14"/>
      <c r="E963" s="14"/>
      <c r="F963" s="14"/>
      <c r="G963" s="1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</row>
    <row r="964" spans="1:18" ht="12.75">
      <c r="A964" s="5"/>
      <c r="B964" s="5"/>
      <c r="C964" s="14"/>
      <c r="D964" s="14"/>
      <c r="E964" s="14"/>
      <c r="F964" s="14"/>
      <c r="G964" s="1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</row>
    <row r="965" spans="1:18" ht="12.75">
      <c r="A965" s="5"/>
      <c r="B965" s="5"/>
      <c r="C965" s="14"/>
      <c r="D965" s="14"/>
      <c r="E965" s="14"/>
      <c r="F965" s="14"/>
      <c r="G965" s="1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</row>
    <row r="966" spans="1:18" ht="12.75">
      <c r="A966" s="5"/>
      <c r="B966" s="5"/>
      <c r="C966" s="14"/>
      <c r="D966" s="14"/>
      <c r="E966" s="14"/>
      <c r="F966" s="14"/>
      <c r="G966" s="1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</row>
    <row r="967" spans="1:18" ht="12.75">
      <c r="A967" s="5"/>
      <c r="B967" s="5"/>
      <c r="C967" s="14"/>
      <c r="D967" s="14"/>
      <c r="E967" s="14"/>
      <c r="F967" s="14"/>
      <c r="G967" s="1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</row>
    <row r="968" spans="1:18" ht="12.75">
      <c r="A968" s="5"/>
      <c r="B968" s="5"/>
      <c r="C968" s="14"/>
      <c r="D968" s="14"/>
      <c r="E968" s="14"/>
      <c r="F968" s="14"/>
      <c r="G968" s="1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</row>
    <row r="969" spans="1:18" ht="12.75">
      <c r="A969" s="5"/>
      <c r="B969" s="5"/>
      <c r="C969" s="14"/>
      <c r="D969" s="14"/>
      <c r="E969" s="14"/>
      <c r="F969" s="14"/>
      <c r="G969" s="1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</row>
    <row r="970" spans="1:18" ht="12.75">
      <c r="A970" s="5"/>
      <c r="B970" s="5"/>
      <c r="C970" s="14"/>
      <c r="D970" s="14"/>
      <c r="E970" s="14"/>
      <c r="F970" s="14"/>
      <c r="G970" s="1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</row>
    <row r="971" spans="1:18" ht="12.75">
      <c r="A971" s="5"/>
      <c r="B971" s="5"/>
      <c r="C971" s="14"/>
      <c r="D971" s="14"/>
      <c r="E971" s="14"/>
      <c r="F971" s="14"/>
      <c r="G971" s="1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</row>
    <row r="972" spans="1:18" ht="12.75">
      <c r="A972" s="5"/>
      <c r="B972" s="5"/>
      <c r="C972" s="14"/>
      <c r="D972" s="14"/>
      <c r="E972" s="14"/>
      <c r="F972" s="14"/>
      <c r="G972" s="1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</row>
    <row r="973" spans="1:18" ht="12.75">
      <c r="A973" s="5"/>
      <c r="B973" s="5"/>
      <c r="C973" s="14"/>
      <c r="D973" s="14"/>
      <c r="E973" s="14"/>
      <c r="F973" s="14"/>
      <c r="G973" s="1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</row>
    <row r="974" spans="1:18" ht="12.75">
      <c r="A974" s="5"/>
      <c r="B974" s="5"/>
      <c r="C974" s="14"/>
      <c r="D974" s="14"/>
      <c r="E974" s="14"/>
      <c r="F974" s="14"/>
      <c r="G974" s="1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</row>
    <row r="975" spans="1:18" ht="12.75">
      <c r="A975" s="5"/>
      <c r="B975" s="5"/>
      <c r="C975" s="14"/>
      <c r="D975" s="14"/>
      <c r="E975" s="14"/>
      <c r="F975" s="14"/>
      <c r="G975" s="1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</row>
    <row r="976" spans="1:18" ht="12.75">
      <c r="A976" s="5"/>
      <c r="B976" s="5"/>
      <c r="C976" s="14"/>
      <c r="D976" s="14"/>
      <c r="E976" s="14"/>
      <c r="F976" s="14"/>
      <c r="G976" s="1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</row>
    <row r="977" spans="1:18" ht="12.75">
      <c r="A977" s="5"/>
      <c r="B977" s="5"/>
      <c r="C977" s="14"/>
      <c r="D977" s="14"/>
      <c r="E977" s="14"/>
      <c r="F977" s="14"/>
      <c r="G977" s="1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</row>
    <row r="978" spans="1:18" ht="12.75">
      <c r="A978" s="5"/>
      <c r="B978" s="5"/>
      <c r="C978" s="14"/>
      <c r="D978" s="14"/>
      <c r="E978" s="14"/>
      <c r="F978" s="14"/>
      <c r="G978" s="1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</row>
    <row r="979" spans="1:18" ht="12.75">
      <c r="A979" s="5"/>
      <c r="B979" s="5"/>
      <c r="C979" s="14"/>
      <c r="D979" s="14"/>
      <c r="E979" s="14"/>
      <c r="F979" s="14"/>
      <c r="G979" s="1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</row>
    <row r="980" spans="1:18" ht="12.75">
      <c r="A980" s="5"/>
      <c r="B980" s="5"/>
      <c r="C980" s="14"/>
      <c r="D980" s="14"/>
      <c r="E980" s="14"/>
      <c r="F980" s="14"/>
      <c r="G980" s="1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</row>
    <row r="981" spans="1:18" ht="12.75">
      <c r="A981" s="5"/>
      <c r="B981" s="5"/>
      <c r="C981" s="14"/>
      <c r="D981" s="14"/>
      <c r="E981" s="14"/>
      <c r="F981" s="14"/>
      <c r="G981" s="1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</row>
    <row r="982" spans="1:18" ht="12.75">
      <c r="A982" s="5"/>
      <c r="B982" s="5"/>
      <c r="C982" s="14"/>
      <c r="D982" s="14"/>
      <c r="E982" s="14"/>
      <c r="F982" s="14"/>
      <c r="G982" s="1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</row>
    <row r="983" spans="1:18" ht="12.75">
      <c r="A983" s="5"/>
      <c r="B983" s="5"/>
      <c r="C983" s="14"/>
      <c r="D983" s="14"/>
      <c r="E983" s="14"/>
      <c r="F983" s="14"/>
      <c r="G983" s="1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</row>
    <row r="984" spans="1:18" ht="12.75">
      <c r="A984" s="5"/>
      <c r="B984" s="5"/>
      <c r="C984" s="14"/>
      <c r="D984" s="14"/>
      <c r="E984" s="14"/>
      <c r="F984" s="14"/>
      <c r="G984" s="1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</row>
    <row r="985" spans="1:18" ht="12.75">
      <c r="A985" s="5"/>
      <c r="B985" s="5"/>
      <c r="C985" s="14"/>
      <c r="D985" s="14"/>
      <c r="E985" s="14"/>
      <c r="F985" s="14"/>
      <c r="G985" s="1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</row>
    <row r="986" spans="1:18" ht="12.75">
      <c r="A986" s="5"/>
      <c r="B986" s="5"/>
      <c r="C986" s="14"/>
      <c r="D986" s="14"/>
      <c r="E986" s="14"/>
      <c r="F986" s="14"/>
      <c r="G986" s="1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</row>
    <row r="987" spans="1:18" ht="12.75">
      <c r="A987" s="5"/>
      <c r="B987" s="5"/>
      <c r="C987" s="14"/>
      <c r="D987" s="14"/>
      <c r="E987" s="14"/>
      <c r="F987" s="14"/>
      <c r="G987" s="1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</row>
    <row r="988" spans="1:18" ht="12.75">
      <c r="A988" s="5"/>
      <c r="B988" s="5"/>
      <c r="C988" s="14"/>
      <c r="D988" s="14"/>
      <c r="E988" s="14"/>
      <c r="F988" s="14"/>
      <c r="G988" s="1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</row>
    <row r="989" spans="1:18" ht="12.75">
      <c r="A989" s="5"/>
      <c r="B989" s="5"/>
      <c r="C989" s="14"/>
      <c r="D989" s="14"/>
      <c r="E989" s="14"/>
      <c r="F989" s="14"/>
      <c r="G989" s="1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</row>
    <row r="990" spans="1:18" ht="12.75">
      <c r="A990" s="5"/>
      <c r="B990" s="5"/>
      <c r="C990" s="14"/>
      <c r="D990" s="14"/>
      <c r="E990" s="14"/>
      <c r="F990" s="14"/>
      <c r="G990" s="1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</row>
    <row r="991" spans="1:18" ht="12.75">
      <c r="A991" s="5"/>
      <c r="B991" s="5"/>
      <c r="C991" s="14"/>
      <c r="D991" s="14"/>
      <c r="E991" s="14"/>
      <c r="F991" s="14"/>
      <c r="G991" s="1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</row>
    <row r="992" spans="1:18" ht="12.75">
      <c r="A992" s="5"/>
      <c r="B992" s="5"/>
      <c r="C992" s="14"/>
      <c r="D992" s="14"/>
      <c r="E992" s="14"/>
      <c r="F992" s="14"/>
      <c r="G992" s="1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</row>
    <row r="993" spans="1:18" ht="12.75">
      <c r="A993" s="5"/>
      <c r="B993" s="5"/>
      <c r="C993" s="14"/>
      <c r="D993" s="14"/>
      <c r="E993" s="14"/>
      <c r="F993" s="14"/>
      <c r="G993" s="1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</row>
    <row r="994" spans="1:18" ht="12.75">
      <c r="A994" s="5"/>
      <c r="B994" s="5"/>
      <c r="C994" s="14"/>
      <c r="D994" s="14"/>
      <c r="E994" s="14"/>
      <c r="F994" s="14"/>
      <c r="G994" s="1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</row>
    <row r="995" spans="1:18" ht="12.75">
      <c r="A995" s="5"/>
      <c r="B995" s="5"/>
      <c r="C995" s="14"/>
      <c r="D995" s="14"/>
      <c r="E995" s="14"/>
      <c r="F995" s="14"/>
      <c r="G995" s="1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</row>
    <row r="996" spans="1:18" ht="12.75">
      <c r="A996" s="5"/>
      <c r="B996" s="5"/>
      <c r="C996" s="14"/>
      <c r="D996" s="14"/>
      <c r="E996" s="14"/>
      <c r="F996" s="14"/>
      <c r="G996" s="1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</row>
    <row r="997" spans="1:18" ht="12.75">
      <c r="A997" s="5"/>
      <c r="B997" s="5"/>
      <c r="C997" s="14"/>
      <c r="D997" s="14"/>
      <c r="E997" s="14"/>
      <c r="F997" s="14"/>
      <c r="G997" s="1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</row>
    <row r="998" spans="1:18" ht="12.75">
      <c r="A998" s="5"/>
      <c r="B998" s="5"/>
      <c r="C998" s="14"/>
      <c r="D998" s="14"/>
      <c r="E998" s="14"/>
      <c r="F998" s="14"/>
      <c r="G998" s="1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</row>
    <row r="999" spans="1:18" ht="12.75">
      <c r="A999" s="5"/>
      <c r="B999" s="5"/>
      <c r="C999" s="14"/>
      <c r="D999" s="14"/>
      <c r="E999" s="14"/>
      <c r="F999" s="14"/>
      <c r="G999" s="1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</row>
    <row r="1000" spans="1:18" ht="12.75">
      <c r="A1000" s="5"/>
      <c r="B1000" s="5"/>
      <c r="C1000" s="14"/>
      <c r="D1000" s="14"/>
      <c r="E1000" s="14"/>
      <c r="F1000" s="14"/>
      <c r="G1000" s="1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</row>
    <row r="1001" spans="1:18" ht="12.75">
      <c r="A1001" s="5"/>
      <c r="B1001" s="5"/>
      <c r="C1001" s="14"/>
      <c r="D1001" s="14"/>
      <c r="E1001" s="14"/>
      <c r="F1001" s="14"/>
      <c r="G1001" s="14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</row>
    <row r="1002" spans="1:18" ht="12.75">
      <c r="A1002" s="5"/>
      <c r="B1002" s="5"/>
      <c r="C1002" s="14"/>
      <c r="D1002" s="14"/>
      <c r="E1002" s="14"/>
      <c r="F1002" s="14"/>
      <c r="G1002" s="14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</row>
  </sheetData>
  <autoFilter ref="A1:G218" xr:uid="{00000000-0009-0000-0000-000000000000}">
    <sortState ref="A2:G218">
      <sortCondition ref="E1:E218"/>
    </sortState>
  </autoFilter>
  <sortState ref="A2:G1002">
    <sortCondition ref="E1"/>
  </sortState>
  <customSheetViews>
    <customSheetView guid="{C81C101F-CB96-46FF-8555-0A67D4AE8F3D}" filter="1" showAutoFilter="1">
      <pageMargins left="0.7" right="0.7" top="0.75" bottom="0.75" header="0.3" footer="0.3"/>
      <autoFilter ref="A1:Q218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Burke, M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D'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edrano-Romero, Ms. Mirna"/>
            <filter val="Molina-Chemali, Mr. Pablo"/>
            <filter val="Moore, Ms. Shanique"/>
            <filter val="Nabavian, Mrs. Farzaneh"/>
            <filter val="Nava, Mrs. Ana"/>
            <filter val="Nava, M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Sobalvarro-Ochoa, Ms. Magda"/>
            <filter val="Tsai, Mrs. Annie"/>
            <filter val="Williams, Ms. Martha (Paty)"/>
            <filter val="Woods, Ms. Sandra"/>
            <filter val="Zuniga, Ms. Evelyn"/>
          </filters>
        </filterColumn>
      </autoFilter>
    </customSheetView>
    <customSheetView guid="{5C2A8CD1-7A75-4471-AB6D-B149CF431B55}" filter="1" showAutoFilter="1">
      <pageMargins left="0.7" right="0.7" top="0.75" bottom="0.75" header="0.3" footer="0.3"/>
      <autoFilter ref="A1:Q218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Branch ES * NEW * (former Clarksburg # 9)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ourt Liaison Specialist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SESES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Burke, Ms. Arelis"/>
            <filter val="Choi, Ms. Youngmee"/>
            <filter val="Decruise-Brown, Ms. Colleen"/>
            <filter val="D'Eugenio Pinel, Ms. Zoe"/>
            <filter val="Medrano-Romero, Ms. Mirna"/>
            <filter val="Molina-Chemali, Mr. Pablo"/>
            <filter val="Nava, Ms. Ana"/>
            <filter val="Romero, Ms. Maria"/>
            <filter val="Sobalvarro-Ochoa, Ms. Magda"/>
            <filter val="Williams, Ms. Martha (Paty)"/>
          </filters>
        </filterColumn>
      </autoFilter>
    </customSheetView>
  </customSheetViews>
  <conditionalFormatting sqref="G2:G27 G29:G218">
    <cfRule type="expression" dxfId="1" priority="1">
      <formula>AND(ISTEXT($E2),ISBLANK($G2))=TRUE</formula>
    </cfRule>
  </conditionalFormatting>
  <hyperlinks>
    <hyperlink ref="E1" r:id="rId1" xr:uid="{00000000-0004-0000-0000-000000000000}"/>
    <hyperlink ref="G69" r:id="rId2" xr:uid="{C10D9DB7-F44B-4065-9391-2644F7E2D4DB}"/>
    <hyperlink ref="G70" r:id="rId3" xr:uid="{23A3B40A-F353-433C-8840-1B3AF0DA08E1}"/>
    <hyperlink ref="G71" r:id="rId4" xr:uid="{EAEAD53F-E422-4453-9205-65E44374B9B2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.75" customHeight="1"/>
  <cols>
    <col min="1" max="1" width="18.42578125" customWidth="1"/>
    <col min="2" max="2" width="29.42578125" customWidth="1"/>
    <col min="3" max="3" width="9" customWidth="1"/>
    <col min="4" max="4" width="23" customWidth="1"/>
    <col min="5" max="5" width="33.42578125" customWidth="1"/>
    <col min="6" max="6" width="27.5703125" customWidth="1"/>
    <col min="7" max="7" width="24.42578125" customWidth="1"/>
    <col min="8" max="8" width="31.5703125" hidden="1" customWidth="1"/>
    <col min="9" max="9" width="31.7109375" customWidth="1"/>
    <col min="10" max="10" width="25.85546875" customWidth="1"/>
    <col min="11" max="11" width="33.5703125" customWidth="1"/>
    <col min="12" max="12" width="22.42578125" customWidth="1"/>
    <col min="13" max="14" width="28.140625" customWidth="1"/>
    <col min="15" max="17" width="20.85546875" customWidth="1"/>
    <col min="18" max="18" width="18.85546875" customWidth="1"/>
  </cols>
  <sheetData>
    <row r="1" spans="1:18" ht="51">
      <c r="A1" s="24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6" t="s">
        <v>623</v>
      </c>
      <c r="G1" s="27" t="s">
        <v>624</v>
      </c>
      <c r="H1" s="28" t="s">
        <v>6</v>
      </c>
      <c r="I1" s="28" t="s">
        <v>7</v>
      </c>
      <c r="J1" s="29" t="s">
        <v>625</v>
      </c>
      <c r="K1" s="29" t="s">
        <v>8</v>
      </c>
      <c r="L1" s="30" t="s">
        <v>626</v>
      </c>
      <c r="M1" s="30" t="s">
        <v>9</v>
      </c>
      <c r="N1" s="30" t="s">
        <v>627</v>
      </c>
      <c r="O1" s="31" t="s">
        <v>628</v>
      </c>
      <c r="P1" s="31" t="s">
        <v>629</v>
      </c>
      <c r="Q1" s="32" t="s">
        <v>630</v>
      </c>
    </row>
    <row r="2" spans="1:18" ht="25.5">
      <c r="A2" s="33" t="s">
        <v>10</v>
      </c>
      <c r="B2" s="33" t="s">
        <v>11</v>
      </c>
      <c r="C2" s="34">
        <v>790</v>
      </c>
      <c r="D2" s="34" t="str">
        <f t="array" ref="D2">INDEX('Synergy import (8232022)'!A$1:L$229,MATCH(C2,'Synergy import (8232022)'!D$1:D$229,0),8)</f>
        <v>Jean-Philippe, Emmanuel J.</v>
      </c>
      <c r="E2" s="34" t="str">
        <f t="array" ref="E2">INDEX('Synergy import (8232022)'!A$1:L$229,MATCH(C2,'Synergy import (8232022)'!D$1:D$229,0),7)</f>
        <v>Emmanuel_J_JeanPhilippe1@mcpsmd.org</v>
      </c>
      <c r="F2" s="35" t="s">
        <v>578</v>
      </c>
      <c r="G2" s="36" t="s">
        <v>12</v>
      </c>
      <c r="H2" s="36" t="str">
        <f t="array" aca="1" ref="H2" ca="1">IF(ISBLANK(I2),"",INDEX('SFSS import'!A$1:F$59,MATCH(I2,'SFSS import'!E$1:E$59,0),3))</f>
        <v>Theresa Huynh</v>
      </c>
      <c r="I2" s="36" t="s">
        <v>13</v>
      </c>
      <c r="J2" s="36" t="s">
        <v>14</v>
      </c>
      <c r="K2" s="37" t="s">
        <v>15</v>
      </c>
      <c r="L2" s="37" t="s">
        <v>16</v>
      </c>
      <c r="M2" s="38" t="s">
        <v>17</v>
      </c>
      <c r="N2" s="39"/>
      <c r="O2" s="40"/>
      <c r="P2" s="41"/>
      <c r="Q2" s="39"/>
      <c r="R2" s="42"/>
    </row>
    <row r="3" spans="1:18" ht="25.5">
      <c r="A3" s="33" t="s">
        <v>10</v>
      </c>
      <c r="B3" s="33" t="s">
        <v>18</v>
      </c>
      <c r="C3" s="34">
        <v>823</v>
      </c>
      <c r="D3" s="34" t="str">
        <f t="array" ref="D3">INDEX('Synergy import (8232022)'!A$1:L$229,MATCH(C3,'Synergy import (8232022)'!D$1:D$229,0),8)</f>
        <v>Allrich, James K.</v>
      </c>
      <c r="E3" s="34" t="str">
        <f t="array" ref="E3">INDEX('Synergy import (8232022)'!A$1:L$229,MATCH(C3,'Synergy import (8232022)'!D$1:D$229,0),7)</f>
        <v>James_K_Allrich@mcpsmd.org</v>
      </c>
      <c r="F3" s="43" t="s">
        <v>47</v>
      </c>
      <c r="G3" s="44" t="s">
        <v>19</v>
      </c>
      <c r="H3" s="36" t="str">
        <f t="array" aca="1" ref="H3" ca="1">IF(ISBLANK(I3),"",INDEX('SFSS import'!A$1:F$59,MATCH(I3,'SFSS import'!E$1:E$59,0),3))</f>
        <v>Kateri Cordova-Orellana</v>
      </c>
      <c r="I3" s="44" t="s">
        <v>20</v>
      </c>
      <c r="J3" s="36" t="s">
        <v>21</v>
      </c>
      <c r="K3" s="37" t="s">
        <v>22</v>
      </c>
      <c r="L3" s="37" t="s">
        <v>23</v>
      </c>
      <c r="M3" s="37" t="s">
        <v>24</v>
      </c>
      <c r="N3" s="45"/>
      <c r="O3" s="46"/>
      <c r="P3" s="47"/>
      <c r="Q3" s="48" t="s">
        <v>631</v>
      </c>
      <c r="R3" s="49"/>
    </row>
    <row r="4" spans="1:18" ht="12.75">
      <c r="A4" s="33" t="s">
        <v>25</v>
      </c>
      <c r="B4" s="33" t="s">
        <v>26</v>
      </c>
      <c r="C4" s="50">
        <v>425</v>
      </c>
      <c r="D4" s="34" t="str">
        <f t="array" ref="D4">INDEX('Synergy import (8232022)'!A$1:L$229,MATCH(C4,'Synergy import (8232022)'!D$1:D$229,0),8)</f>
        <v>Reese, Monique</v>
      </c>
      <c r="E4" s="34" t="str">
        <f t="array" ref="E4">INDEX('Synergy import (8232022)'!A$1:L$229,MATCH(C4,'Synergy import (8232022)'!D$1:D$229,0),7)</f>
        <v>Monique_Reese@mcpsmd.org</v>
      </c>
      <c r="F4" s="51" t="s">
        <v>632</v>
      </c>
      <c r="G4" s="52"/>
      <c r="H4" s="36" t="str">
        <f t="array" ref="H4">IF(ISBLANK(I4),"",INDEX('SFSS import'!A$1:F$59,MATCH(I4,'SFSS import'!E$1:E$59,0),3))</f>
        <v/>
      </c>
      <c r="I4" s="52"/>
      <c r="J4" s="53" t="s">
        <v>27</v>
      </c>
      <c r="K4" s="54" t="s">
        <v>28</v>
      </c>
      <c r="L4" s="55"/>
      <c r="M4" s="39"/>
      <c r="N4" s="39"/>
      <c r="O4" s="46"/>
      <c r="P4" s="49"/>
      <c r="Q4" s="48"/>
      <c r="R4" s="49"/>
    </row>
    <row r="5" spans="1:18" ht="12.75">
      <c r="A5" s="33" t="s">
        <v>29</v>
      </c>
      <c r="B5" s="33" t="s">
        <v>30</v>
      </c>
      <c r="C5" s="50">
        <v>705</v>
      </c>
      <c r="D5" s="34" t="str">
        <f t="array" ref="D5">INDEX('Synergy import (8232022)'!A$1:L$229,MATCH(C5,'Synergy import (8232022)'!D$1:D$229,0),8)</f>
        <v>Worthington, Louise J.</v>
      </c>
      <c r="E5" s="34" t="str">
        <f t="array" ref="E5">INDEX('Synergy import (8232022)'!A$1:L$229,MATCH(C5,'Synergy import (8232022)'!D$1:D$229,0),7)</f>
        <v>Louise_J_Worthington@mcpsmd.org</v>
      </c>
      <c r="F5" s="56" t="s">
        <v>31</v>
      </c>
      <c r="G5" s="44" t="s">
        <v>32</v>
      </c>
      <c r="H5" s="36" t="str">
        <f t="array" aca="1" ref="H5" ca="1">IF(ISBLANK(I5),"",INDEX('SFSS import'!A$1:F$59,MATCH(I5,'SFSS import'!E$1:E$59,0),3))</f>
        <v>Molly Kim</v>
      </c>
      <c r="I5" s="44" t="s">
        <v>33</v>
      </c>
      <c r="J5" s="36" t="s">
        <v>34</v>
      </c>
      <c r="K5" s="37" t="s">
        <v>35</v>
      </c>
      <c r="L5" s="55"/>
      <c r="M5" s="45"/>
      <c r="N5" s="45"/>
      <c r="O5" s="57"/>
      <c r="P5" s="49"/>
      <c r="Q5" s="48" t="s">
        <v>633</v>
      </c>
      <c r="R5" s="49"/>
    </row>
    <row r="6" spans="1:18" ht="12.75">
      <c r="A6" s="33" t="s">
        <v>36</v>
      </c>
      <c r="B6" s="33" t="s">
        <v>37</v>
      </c>
      <c r="C6" s="50">
        <v>333</v>
      </c>
      <c r="D6" s="34" t="str">
        <f t="array" ref="D6">INDEX('Synergy import (8232022)'!A$1:L$229,MATCH(C6,'Synergy import (8232022)'!D$1:D$229,0),8)</f>
        <v>Fortune, Michelle L.</v>
      </c>
      <c r="E6" s="34" t="str">
        <f t="array" ref="E6">INDEX('Synergy import (8232022)'!A$1:L$229,MATCH(C6,'Synergy import (8232022)'!D$1:D$229,0),7)</f>
        <v>Michelle_L_Fortune@mcpsmd.org</v>
      </c>
      <c r="F6" s="51" t="s">
        <v>38</v>
      </c>
      <c r="G6" s="44" t="s">
        <v>39</v>
      </c>
      <c r="H6" s="36" t="str">
        <f t="array" aca="1" ref="H6" ca="1">IF(ISBLANK(I6),"",INDEX('SFSS import'!A$1:F$59,MATCH(I6,'SFSS import'!E$1:E$59,0),3))</f>
        <v>Deneen Gordon</v>
      </c>
      <c r="I6" s="44" t="s">
        <v>40</v>
      </c>
      <c r="J6" s="36" t="s">
        <v>269</v>
      </c>
      <c r="K6" s="37" t="s">
        <v>270</v>
      </c>
      <c r="L6" s="55"/>
      <c r="M6" s="39"/>
      <c r="N6" s="39"/>
      <c r="O6" s="46"/>
      <c r="P6" s="49"/>
      <c r="Q6" s="58" t="s">
        <v>634</v>
      </c>
      <c r="R6" s="49"/>
    </row>
    <row r="7" spans="1:18" ht="12.75">
      <c r="A7" s="33" t="s">
        <v>41</v>
      </c>
      <c r="B7" s="33" t="s">
        <v>42</v>
      </c>
      <c r="C7" s="50">
        <v>420</v>
      </c>
      <c r="D7" s="34" t="str">
        <f t="array" ref="D7">INDEX('Synergy import (8232022)'!A$1:L$229,MATCH(C7,'Synergy import (8232022)'!D$1:D$229,0),8)</f>
        <v>Bradley, Kathryn D.</v>
      </c>
      <c r="E7" s="34" t="str">
        <f t="array" ref="E7">INDEX('Synergy import (8232022)'!A$1:L$229,MATCH(C7,'Synergy import (8232022)'!D$1:D$229,0),7)</f>
        <v>Kathryn_D_Bradley@mcpsmd.org</v>
      </c>
      <c r="F7" s="51" t="s">
        <v>450</v>
      </c>
      <c r="G7" s="52"/>
      <c r="H7" s="36" t="str">
        <f t="array" ref="H7">IF(ISBLANK(I7),"",INDEX('SFSS import'!A$1:F$59,MATCH(I7,'SFSS import'!E$1:E$59,0),3))</f>
        <v/>
      </c>
      <c r="I7" s="52"/>
      <c r="J7" s="36" t="s">
        <v>43</v>
      </c>
      <c r="K7" s="37" t="s">
        <v>44</v>
      </c>
      <c r="L7" s="55"/>
      <c r="M7" s="39"/>
      <c r="N7" s="39"/>
      <c r="O7" s="46"/>
      <c r="P7" s="49"/>
      <c r="Q7" s="39"/>
      <c r="R7" s="49"/>
    </row>
    <row r="8" spans="1:18" ht="12.75">
      <c r="A8" s="33" t="s">
        <v>45</v>
      </c>
      <c r="B8" s="33" t="s">
        <v>46</v>
      </c>
      <c r="C8" s="34">
        <v>505</v>
      </c>
      <c r="D8" s="34" t="str">
        <f t="array" ref="D8">INDEX('Synergy import (8232022)'!A$1:L$229,MATCH(C8,'Synergy import (8232022)'!D$1:D$229,0),8)</f>
        <v>Troffkin, Christine L.</v>
      </c>
      <c r="E8" s="34" t="str">
        <f t="array" ref="E8">INDEX('Synergy import (8232022)'!A$1:L$229,MATCH(C8,'Synergy import (8232022)'!D$1:D$229,0),7)</f>
        <v>Christine_L_Troffkin@mcpsmd.org</v>
      </c>
      <c r="F8" s="43" t="s">
        <v>635</v>
      </c>
      <c r="G8" s="44" t="s">
        <v>48</v>
      </c>
      <c r="H8" s="36" t="str">
        <f t="array" aca="1" ref="H8" ca="1">IF(ISBLANK(I8),"",INDEX('SFSS import'!A$1:F$59,MATCH(I8,'SFSS import'!E$1:E$59,0),3))</f>
        <v>Cindy Rowry Sadur</v>
      </c>
      <c r="I8" s="44" t="s">
        <v>49</v>
      </c>
      <c r="J8" s="36" t="s">
        <v>50</v>
      </c>
      <c r="K8" s="37" t="s">
        <v>51</v>
      </c>
      <c r="L8" s="55"/>
      <c r="M8" s="59"/>
      <c r="N8" s="59"/>
      <c r="O8" s="46"/>
      <c r="P8" s="49"/>
      <c r="Q8" s="39"/>
      <c r="R8" s="49"/>
    </row>
    <row r="9" spans="1:18" ht="12.75">
      <c r="A9" s="33" t="s">
        <v>52</v>
      </c>
      <c r="B9" s="33" t="s">
        <v>53</v>
      </c>
      <c r="C9" s="50">
        <v>346</v>
      </c>
      <c r="D9" s="34" t="str">
        <f t="array" ref="D9">INDEX('Synergy import (8232022)'!A$1:L$229,MATCH(C9,'Synergy import (8232022)'!D$1:D$229,0),8)</f>
        <v>West, Kathryn C.</v>
      </c>
      <c r="E9" s="34" t="str">
        <f t="array" ref="E9">INDEX('Synergy import (8232022)'!A$1:L$229,MATCH(C9,'Synergy import (8232022)'!D$1:D$229,0),7)</f>
        <v>Kathryn_C_West@mcpsmd.org</v>
      </c>
      <c r="F9" s="51" t="s">
        <v>409</v>
      </c>
      <c r="G9" s="44" t="s">
        <v>54</v>
      </c>
      <c r="H9" s="36" t="str">
        <f t="array" aca="1" ref="H9" ca="1">IF(ISBLANK(I9),"",INDEX('SFSS import'!A$1:F$59,MATCH(I9,'SFSS import'!E$1:E$59,0),3))</f>
        <v>Jeremy Smith</v>
      </c>
      <c r="I9" s="44" t="s">
        <v>55</v>
      </c>
      <c r="J9" s="36" t="s">
        <v>636</v>
      </c>
      <c r="K9" s="37" t="s">
        <v>637</v>
      </c>
      <c r="L9" s="55"/>
      <c r="M9" s="59"/>
      <c r="N9" s="59"/>
      <c r="O9" s="57"/>
      <c r="P9" s="49"/>
      <c r="Q9" s="38"/>
      <c r="R9" s="49"/>
    </row>
    <row r="10" spans="1:18" ht="12.75">
      <c r="A10" s="33" t="s">
        <v>52</v>
      </c>
      <c r="B10" s="33" t="s">
        <v>56</v>
      </c>
      <c r="C10" s="50">
        <v>207</v>
      </c>
      <c r="D10" s="34" t="str">
        <f t="array" ref="D10">INDEX('Synergy import (8232022)'!A$1:L$229,MATCH(C10,'Synergy import (8232022)'!D$1:D$229,0),8)</f>
        <v>Alter, Elliot M.</v>
      </c>
      <c r="E10" s="34" t="str">
        <f t="array" ref="E10">INDEX('Synergy import (8232022)'!A$1:L$229,MATCH(C10,'Synergy import (8232022)'!D$1:D$229,0),7)</f>
        <v>Elliot_Alter@mcpsmd.org</v>
      </c>
      <c r="F10" s="51" t="s">
        <v>437</v>
      </c>
      <c r="G10" s="44" t="s">
        <v>57</v>
      </c>
      <c r="H10" s="36" t="str">
        <f t="array" aca="1" ref="H10" ca="1">IF(ISBLANK(I10),"",INDEX('SFSS import'!A$1:F$59,MATCH(I10,'SFSS import'!E$1:E$59,0),3))</f>
        <v>Lily Shen</v>
      </c>
      <c r="I10" s="44" t="s">
        <v>58</v>
      </c>
      <c r="J10" s="36" t="s">
        <v>59</v>
      </c>
      <c r="K10" s="37" t="s">
        <v>60</v>
      </c>
      <c r="L10" s="55"/>
      <c r="M10" s="39"/>
      <c r="N10" s="39"/>
      <c r="O10" s="46"/>
      <c r="P10" s="49"/>
      <c r="Q10" s="39"/>
      <c r="R10" s="49"/>
    </row>
    <row r="11" spans="1:18" ht="25.5">
      <c r="A11" s="33" t="s">
        <v>10</v>
      </c>
      <c r="B11" s="33" t="s">
        <v>61</v>
      </c>
      <c r="C11" s="50">
        <v>780</v>
      </c>
      <c r="D11" s="34" t="str">
        <f t="array" ref="D11">INDEX('Synergy import (8232022)'!A$1:L$229,MATCH(C11,'Synergy import (8232022)'!D$1:D$229,0),8)</f>
        <v>Brooks, Dara</v>
      </c>
      <c r="E11" s="34" t="str">
        <f t="array" ref="E11">INDEX('Synergy import (8232022)'!A$1:L$229,MATCH(C11,'Synergy import (8232022)'!D$1:D$229,0),7)</f>
        <v>Dara_Brooks@mcpsmd.org</v>
      </c>
      <c r="F11" s="51" t="s">
        <v>62</v>
      </c>
      <c r="G11" s="44" t="s">
        <v>19</v>
      </c>
      <c r="H11" s="36" t="str">
        <f t="array" aca="1" ref="H11" ca="1">IF(ISBLANK(I11),"",INDEX('SFSS import'!A$1:F$59,MATCH(I11,'SFSS import'!E$1:E$59,0),3))</f>
        <v>Kateri Cordova-Orellana</v>
      </c>
      <c r="I11" s="44" t="s">
        <v>20</v>
      </c>
      <c r="J11" s="36" t="s">
        <v>21</v>
      </c>
      <c r="K11" s="37" t="s">
        <v>22</v>
      </c>
      <c r="L11" s="37" t="s">
        <v>63</v>
      </c>
      <c r="M11" s="38" t="s">
        <v>64</v>
      </c>
      <c r="N11" s="39"/>
      <c r="O11" s="46"/>
      <c r="P11" s="47"/>
      <c r="Q11" s="39"/>
      <c r="R11" s="49"/>
    </row>
    <row r="12" spans="1:18" ht="12.75">
      <c r="A12" s="33" t="s">
        <v>65</v>
      </c>
      <c r="B12" s="33" t="s">
        <v>66</v>
      </c>
      <c r="C12" s="50">
        <v>607</v>
      </c>
      <c r="D12" s="34" t="str">
        <f t="array" ref="D12">INDEX('Synergy import (8232022)'!A$1:L$229,MATCH(C12,'Synergy import (8232022)'!D$1:D$229,0),8)</f>
        <v>Smith, Stacy L.</v>
      </c>
      <c r="E12" s="34" t="str">
        <f t="array" ref="E12">INDEX('Synergy import (8232022)'!A$1:L$229,MATCH(C12,'Synergy import (8232022)'!D$1:D$229,0),7)</f>
        <v>Stacy_L_Smith@mcpsmd.org</v>
      </c>
      <c r="F12" s="51" t="s">
        <v>638</v>
      </c>
      <c r="G12" s="52"/>
      <c r="H12" s="36" t="str">
        <f t="array" ref="H12">IF(ISBLANK(I12),"",INDEX('SFSS import'!A$1:F$59,MATCH(I12,'SFSS import'!E$1:E$59,0),3))</f>
        <v/>
      </c>
      <c r="I12" s="52"/>
      <c r="J12" s="36" t="s">
        <v>67</v>
      </c>
      <c r="K12" s="37" t="s">
        <v>68</v>
      </c>
      <c r="L12" s="55"/>
      <c r="M12" s="39"/>
      <c r="N12" s="39"/>
      <c r="O12" s="46"/>
      <c r="P12" s="49"/>
      <c r="Q12" s="39"/>
      <c r="R12" s="49"/>
    </row>
    <row r="13" spans="1:18" ht="12.75">
      <c r="A13" s="33" t="s">
        <v>69</v>
      </c>
      <c r="B13" s="33" t="s">
        <v>70</v>
      </c>
      <c r="C13" s="50">
        <v>513</v>
      </c>
      <c r="D13" s="34" t="str">
        <f t="array" ref="D13">INDEX('Synergy import (8232022)'!A$1:L$229,MATCH(C13,'Synergy import (8232022)'!D$1:D$229,0),8)</f>
        <v>Pinkowitz, Evan J.</v>
      </c>
      <c r="E13" s="34" t="str">
        <f t="array" ref="E13">INDEX('Synergy import (8232022)'!A$1:L$229,MATCH(C13,'Synergy import (8232022)'!D$1:D$229,0),7)</f>
        <v>Evan_J_Pinkowitz@mcpsmd.org</v>
      </c>
      <c r="F13" s="56" t="s">
        <v>71</v>
      </c>
      <c r="G13" s="52"/>
      <c r="H13" s="36" t="str">
        <f t="array" ref="H13">IF(ISBLANK(I13),"",INDEX('SFSS import'!A$1:F$59,MATCH(I13,'SFSS import'!E$1:E$59,0),3))</f>
        <v/>
      </c>
      <c r="I13" s="52"/>
      <c r="J13" s="36" t="s">
        <v>72</v>
      </c>
      <c r="K13" s="37" t="s">
        <v>73</v>
      </c>
      <c r="L13" s="55"/>
      <c r="M13" s="59"/>
      <c r="N13" s="59"/>
      <c r="O13" s="46"/>
      <c r="P13" s="49"/>
      <c r="Q13" s="39"/>
      <c r="R13" s="49"/>
    </row>
    <row r="14" spans="1:18" ht="12.75">
      <c r="A14" s="33" t="s">
        <v>74</v>
      </c>
      <c r="B14" s="33" t="s">
        <v>75</v>
      </c>
      <c r="C14" s="50">
        <v>406</v>
      </c>
      <c r="D14" s="34" t="str">
        <f t="array" ref="D14">INDEX('Synergy import (8232022)'!A$1:L$229,MATCH(C14,'Synergy import (8232022)'!D$1:D$229,0),8)</f>
        <v>Mooney, Shelton L. Jr</v>
      </c>
      <c r="E14" s="34" t="str">
        <f t="array" ref="E14">INDEX('Synergy import (8232022)'!A$1:L$229,MATCH(C14,'Synergy import (8232022)'!D$1:D$229,0),7)</f>
        <v>Shelton_Mooney@mcpsmd.org</v>
      </c>
      <c r="F14" s="51" t="s">
        <v>76</v>
      </c>
      <c r="G14" s="44" t="s">
        <v>77</v>
      </c>
      <c r="H14" s="36" t="str">
        <f t="array" aca="1" ref="H14" ca="1">IF(ISBLANK(I14),"",INDEX('SFSS import'!A$1:F$59,MATCH(I14,'SFSS import'!E$1:E$59,0),3))</f>
        <v>Elia Haza</v>
      </c>
      <c r="I14" s="44" t="s">
        <v>78</v>
      </c>
      <c r="J14" s="36" t="s">
        <v>79</v>
      </c>
      <c r="K14" s="37" t="s">
        <v>80</v>
      </c>
      <c r="L14" s="37" t="s">
        <v>81</v>
      </c>
      <c r="M14" s="38" t="s">
        <v>82</v>
      </c>
      <c r="N14" s="39"/>
      <c r="O14" s="57"/>
      <c r="P14" s="49" t="s">
        <v>83</v>
      </c>
      <c r="Q14" s="38" t="s">
        <v>639</v>
      </c>
      <c r="R14" s="49"/>
    </row>
    <row r="15" spans="1:18" ht="12.75">
      <c r="A15" s="33" t="s">
        <v>74</v>
      </c>
      <c r="B15" s="33" t="s">
        <v>84</v>
      </c>
      <c r="C15" s="50">
        <v>401</v>
      </c>
      <c r="D15" s="34" t="str">
        <f t="array" ref="D15">INDEX('Synergy import (8232022)'!A$1:L$229,MATCH(C15,'Synergy import (8232022)'!D$1:D$229,0),8)</f>
        <v>Seymour, Lisa S.</v>
      </c>
      <c r="E15" s="34" t="str">
        <f t="array" ref="E15">INDEX('Synergy import (8232022)'!A$1:L$229,MATCH(C15,'Synergy import (8232022)'!D$1:D$229,0),7)</f>
        <v>Lisa_Seymour@mcpsmd.org</v>
      </c>
      <c r="F15" s="51" t="s">
        <v>85</v>
      </c>
      <c r="G15" s="52"/>
      <c r="H15" s="36" t="str">
        <f t="array" ref="H15">IF(ISBLANK(I15),"",INDEX('SFSS import'!A$1:F$59,MATCH(I15,'SFSS import'!E$1:E$59,0),3))</f>
        <v/>
      </c>
      <c r="I15" s="52"/>
      <c r="J15" s="36" t="s">
        <v>640</v>
      </c>
      <c r="K15" s="37" t="s">
        <v>641</v>
      </c>
      <c r="L15" s="55"/>
      <c r="M15" s="39"/>
      <c r="N15" s="39"/>
      <c r="O15" s="57"/>
      <c r="P15" s="49"/>
      <c r="Q15" s="38"/>
      <c r="R15" s="49"/>
    </row>
    <row r="16" spans="1:18" ht="12.75">
      <c r="A16" s="33" t="s">
        <v>65</v>
      </c>
      <c r="B16" s="33" t="s">
        <v>86</v>
      </c>
      <c r="C16" s="50">
        <v>226</v>
      </c>
      <c r="D16" s="34" t="str">
        <f t="array" ref="D16">INDEX('Synergy import (8232022)'!A$1:L$229,MATCH(C16,'Synergy import (8232022)'!D$1:D$229,0),8)</f>
        <v>Swerdzewski, Laura M.</v>
      </c>
      <c r="E16" s="34" t="str">
        <f t="array" ref="E16">INDEX('Synergy import (8232022)'!A$1:L$229,MATCH(C16,'Synergy import (8232022)'!D$1:D$229,0),7)</f>
        <v>Laura_M_Swerdzewski@mcpsmd.org</v>
      </c>
      <c r="F16" s="51" t="s">
        <v>85</v>
      </c>
      <c r="G16" s="52"/>
      <c r="H16" s="36" t="str">
        <f t="array" ref="H16">IF(ISBLANK(I16),"",INDEX('SFSS import'!A$1:F$59,MATCH(I16,'SFSS import'!E$1:E$59,0),3))</f>
        <v/>
      </c>
      <c r="I16" s="52"/>
      <c r="J16" s="36" t="s">
        <v>87</v>
      </c>
      <c r="K16" s="37" t="s">
        <v>88</v>
      </c>
      <c r="L16" s="55"/>
      <c r="M16" s="39"/>
      <c r="N16" s="39"/>
      <c r="O16" s="46"/>
      <c r="P16" s="49"/>
      <c r="Q16" s="39"/>
      <c r="R16" s="49"/>
    </row>
    <row r="17" spans="1:18" ht="12.75">
      <c r="A17" s="33" t="s">
        <v>89</v>
      </c>
      <c r="B17" s="33" t="s">
        <v>90</v>
      </c>
      <c r="C17" s="35"/>
      <c r="D17" s="34" t="e">
        <f t="array" ref="D17">INDEX('Synergy import (8232022)'!A$1:L$229,MATCH(C17,'Synergy import (8232022)'!D$1:D$229,0),8)</f>
        <v>#N/A</v>
      </c>
      <c r="E17" s="34" t="e">
        <f t="array" ref="E17">INDEX('Synergy import (8232022)'!A$1:L$229,MATCH(C17,'Synergy import (8232022)'!D$1:D$229,0),7)</f>
        <v>#N/A</v>
      </c>
      <c r="F17" s="60" t="s">
        <v>91</v>
      </c>
      <c r="G17" s="61"/>
      <c r="H17" s="36" t="str">
        <f t="array" ref="H17">IF(ISBLANK(I17),"",INDEX('SFSS import'!A$1:F$59,MATCH(I17,'SFSS import'!E$1:E$59,0),3))</f>
        <v/>
      </c>
      <c r="I17" s="61"/>
      <c r="J17" s="36"/>
      <c r="K17" s="37"/>
      <c r="L17" s="55"/>
      <c r="M17" s="39"/>
      <c r="N17" s="39"/>
      <c r="O17" s="57"/>
      <c r="P17" s="49"/>
      <c r="Q17" s="59"/>
      <c r="R17" s="49"/>
    </row>
    <row r="18" spans="1:18" ht="38.25">
      <c r="A18" s="33" t="s">
        <v>92</v>
      </c>
      <c r="B18" s="33" t="s">
        <v>93</v>
      </c>
      <c r="C18" s="50">
        <v>757</v>
      </c>
      <c r="D18" s="34" t="str">
        <f t="array" ref="D18">INDEX('Synergy import (8232022)'!A$1:L$229,MATCH(C18,'Synergy import (8232022)'!D$1:D$229,0),8)</f>
        <v>Johnson, Renay C.</v>
      </c>
      <c r="E18" s="34" t="str">
        <f t="array" ref="E18">INDEX('Synergy import (8232022)'!A$1:L$229,MATCH(C18,'Synergy import (8232022)'!D$1:D$229,0),7)</f>
        <v>Renay_C_Johnson@mcpsmd.org</v>
      </c>
      <c r="F18" s="51" t="s">
        <v>94</v>
      </c>
      <c r="G18" s="44" t="s">
        <v>95</v>
      </c>
      <c r="H18" s="36" t="str">
        <f t="array" aca="1" ref="H18" ca="1">IF(ISBLANK(I18),"",INDEX('SFSS import'!A$1:F$59,MATCH(I18,'SFSS import'!E$1:E$59,0),3))</f>
        <v>Farzaneh Nabavian</v>
      </c>
      <c r="I18" s="44" t="s">
        <v>96</v>
      </c>
      <c r="J18" s="36" t="s">
        <v>97</v>
      </c>
      <c r="K18" s="37" t="s">
        <v>98</v>
      </c>
      <c r="L18" s="55"/>
      <c r="M18" s="38"/>
      <c r="N18" s="38" t="s">
        <v>99</v>
      </c>
      <c r="O18" s="62"/>
      <c r="P18" s="63" t="s">
        <v>100</v>
      </c>
      <c r="Q18" s="38" t="s">
        <v>642</v>
      </c>
      <c r="R18" s="49"/>
    </row>
    <row r="19" spans="1:18" ht="12.75">
      <c r="A19" s="33" t="s">
        <v>101</v>
      </c>
      <c r="B19" s="33" t="s">
        <v>102</v>
      </c>
      <c r="C19" s="50">
        <v>321</v>
      </c>
      <c r="D19" s="34" t="str">
        <f t="array" ref="D19">INDEX('Synergy import (8232022)'!A$1:L$229,MATCH(C19,'Synergy import (8232022)'!D$1:D$229,0),8)</f>
        <v>Sinclair Jr, Robert</v>
      </c>
      <c r="E19" s="34" t="str">
        <f t="array" ref="E19">INDEX('Synergy import (8232022)'!A$1:L$229,MATCH(C19,'Synergy import (8232022)'!D$1:D$229,0),7)</f>
        <v>Robert_Sinclair@mcpsmd.org</v>
      </c>
      <c r="F19" s="56" t="s">
        <v>340</v>
      </c>
      <c r="G19" s="64" t="s">
        <v>103</v>
      </c>
      <c r="H19" s="36" t="str">
        <f t="array" aca="1" ref="H19" ca="1">IF(ISBLANK(I19),"",INDEX('SFSS import'!A$1:F$59,MATCH(I19,'SFSS import'!E$1:E$59,0),3))</f>
        <v>Crystal Granados</v>
      </c>
      <c r="I19" s="64" t="s">
        <v>104</v>
      </c>
      <c r="J19" s="36" t="s">
        <v>105</v>
      </c>
      <c r="K19" s="37" t="s">
        <v>106</v>
      </c>
      <c r="L19" s="37" t="s">
        <v>107</v>
      </c>
      <c r="M19" s="38" t="s">
        <v>108</v>
      </c>
      <c r="N19" s="39"/>
      <c r="O19" s="46"/>
      <c r="P19" s="49" t="s">
        <v>109</v>
      </c>
      <c r="Q19" s="38" t="s">
        <v>643</v>
      </c>
      <c r="R19" s="49"/>
    </row>
    <row r="20" spans="1:18" ht="12.75">
      <c r="A20" s="33" t="s">
        <v>41</v>
      </c>
      <c r="B20" s="33" t="s">
        <v>110</v>
      </c>
      <c r="C20" s="50">
        <v>410</v>
      </c>
      <c r="D20" s="34" t="str">
        <f t="array" ref="D20">INDEX('Synergy import (8232022)'!A$1:L$229,MATCH(C20,'Synergy import (8232022)'!D$1:D$229,0),8)</f>
        <v>Caroscio, Karen E.</v>
      </c>
      <c r="E20" s="34" t="str">
        <f t="array" ref="E20">INDEX('Synergy import (8232022)'!A$1:L$229,MATCH(C20,'Synergy import (8232022)'!D$1:D$229,0),7)</f>
        <v>Karen_E_Caroscio@mcpsmd.org</v>
      </c>
      <c r="F20" s="56" t="s">
        <v>644</v>
      </c>
      <c r="G20" s="52"/>
      <c r="H20" s="36" t="str">
        <f t="array" ref="H20">IF(ISBLANK(I20),"",INDEX('SFSS import'!A$1:F$59,MATCH(I20,'SFSS import'!E$1:E$59,0),3))</f>
        <v/>
      </c>
      <c r="I20" s="52"/>
      <c r="J20" s="36" t="s">
        <v>43</v>
      </c>
      <c r="K20" s="37" t="s">
        <v>44</v>
      </c>
      <c r="L20" s="55"/>
      <c r="M20" s="39"/>
      <c r="N20" s="39"/>
      <c r="O20" s="46"/>
      <c r="P20" s="49" t="s">
        <v>611</v>
      </c>
      <c r="Q20" s="38"/>
      <c r="R20" s="49"/>
    </row>
    <row r="21" spans="1:18" ht="12.75">
      <c r="A21" s="33" t="s">
        <v>36</v>
      </c>
      <c r="B21" s="33" t="s">
        <v>113</v>
      </c>
      <c r="C21" s="50">
        <v>335</v>
      </c>
      <c r="D21" s="34" t="str">
        <f t="array" ref="D21">INDEX('Synergy import (8232022)'!A$1:L$229,MATCH(C21,'Synergy import (8232022)'!D$1:D$229,0),8)</f>
        <v>Robinson, Shawaan T.</v>
      </c>
      <c r="E21" s="34" t="str">
        <f t="array" ref="E21">INDEX('Synergy import (8232022)'!A$1:L$229,MATCH(C21,'Synergy import (8232022)'!D$1:D$229,0),7)</f>
        <v>Shawaan_T_Robinson@mcpsmd.org</v>
      </c>
      <c r="F21" s="56" t="s">
        <v>645</v>
      </c>
      <c r="G21" s="44" t="s">
        <v>114</v>
      </c>
      <c r="H21" s="36" t="str">
        <f t="array" aca="1" ref="H21" ca="1">IF(ISBLANK(I21),"",INDEX('SFSS import'!A$1:F$59,MATCH(I21,'SFSS import'!E$1:E$59,0),3))</f>
        <v>Jade Gilchrist</v>
      </c>
      <c r="I21" s="44" t="s">
        <v>115</v>
      </c>
      <c r="J21" s="36" t="s">
        <v>646</v>
      </c>
      <c r="K21" s="37" t="s">
        <v>311</v>
      </c>
      <c r="L21" s="55"/>
      <c r="M21" s="39"/>
      <c r="N21" s="39"/>
      <c r="O21" s="46"/>
      <c r="P21" s="49" t="s">
        <v>552</v>
      </c>
      <c r="Q21" s="38"/>
      <c r="R21" s="49"/>
    </row>
    <row r="22" spans="1:18" ht="12.75">
      <c r="A22" s="33" t="s">
        <v>69</v>
      </c>
      <c r="B22" s="33" t="s">
        <v>116</v>
      </c>
      <c r="C22" s="50">
        <v>518</v>
      </c>
      <c r="D22" s="34" t="str">
        <f t="array" ref="D22">INDEX('Synergy import (8232022)'!A$1:L$229,MATCH(C22,'Synergy import (8232022)'!D$1:D$229,0),8)</f>
        <v>Tarwater, Jolynn E.</v>
      </c>
      <c r="E22" s="34" t="str">
        <f t="array" ref="E22">INDEX('Synergy import (8232022)'!A$1:L$229,MATCH(C22,'Synergy import (8232022)'!D$1:D$229,0),7)</f>
        <v>Jolynn_E_Tarwater@mcpsmd.org</v>
      </c>
      <c r="F22" s="51" t="s">
        <v>117</v>
      </c>
      <c r="G22" s="52"/>
      <c r="H22" s="36" t="str">
        <f t="array" ref="H22">IF(ISBLANK(I22),"",INDEX('SFSS import'!A$1:F$59,MATCH(I22,'SFSS import'!E$1:E$59,0),3))</f>
        <v/>
      </c>
      <c r="I22" s="52"/>
      <c r="J22" s="36" t="s">
        <v>120</v>
      </c>
      <c r="K22" s="37" t="s">
        <v>121</v>
      </c>
      <c r="L22" s="55"/>
      <c r="M22" s="39"/>
      <c r="N22" s="39"/>
      <c r="O22" s="46"/>
      <c r="P22" s="49"/>
      <c r="Q22" s="39"/>
      <c r="R22" s="49"/>
    </row>
    <row r="23" spans="1:18" ht="12.75">
      <c r="A23" s="33" t="s">
        <v>122</v>
      </c>
      <c r="B23" s="33" t="s">
        <v>123</v>
      </c>
      <c r="C23" s="50">
        <v>807</v>
      </c>
      <c r="D23" s="34" t="str">
        <f t="array" ref="D23">INDEX('Synergy import (8232022)'!A$1:L$229,MATCH(C23,'Synergy import (8232022)'!D$1:D$229,0),8)</f>
        <v>Kimber, Xavier</v>
      </c>
      <c r="E23" s="34" t="str">
        <f t="array" ref="E23">INDEX('Synergy import (8232022)'!A$1:L$229,MATCH(C23,'Synergy import (8232022)'!D$1:D$229,0),7)</f>
        <v>Xavier_Kimber@mcpsmd.org</v>
      </c>
      <c r="F23" s="56" t="s">
        <v>124</v>
      </c>
      <c r="G23" s="8" t="s">
        <v>125</v>
      </c>
      <c r="H23" s="36" t="str">
        <f t="array" aca="1" ref="H23" ca="1">IF(ISBLANK(I23),"",INDEX('SFSS import'!A$1:F$59,MATCH(I23,'SFSS import'!E$1:E$59,0),3))</f>
        <v>Nivardo Candanedo</v>
      </c>
      <c r="I23" s="8" t="s">
        <v>126</v>
      </c>
      <c r="J23" s="36" t="s">
        <v>127</v>
      </c>
      <c r="K23" s="37" t="s">
        <v>128</v>
      </c>
      <c r="L23" s="55"/>
      <c r="M23" s="59"/>
      <c r="N23" s="59"/>
      <c r="O23" s="46"/>
      <c r="P23" s="49"/>
      <c r="Q23" s="39"/>
      <c r="R23" s="49"/>
    </row>
    <row r="24" spans="1:18" ht="12.75">
      <c r="A24" s="33" t="s">
        <v>129</v>
      </c>
      <c r="B24" s="33" t="s">
        <v>130</v>
      </c>
      <c r="C24" s="34">
        <v>559</v>
      </c>
      <c r="D24" s="34" t="str">
        <f t="array" ref="D24">INDEX('Synergy import (8232022)'!A$1:L$229,MATCH(C24,'Synergy import (8232022)'!D$1:D$229,0),8)</f>
        <v>Powell, Mary Jo</v>
      </c>
      <c r="E24" s="34" t="str">
        <f t="array" ref="E24">INDEX('Synergy import (8232022)'!A$1:L$229,MATCH(C24,'Synergy import (8232022)'!D$1:D$229,0),7)</f>
        <v>MaryJo_Powell@mcpsmd.org</v>
      </c>
      <c r="F24" s="60" t="s">
        <v>647</v>
      </c>
      <c r="G24" s="44" t="s">
        <v>131</v>
      </c>
      <c r="H24" s="36" t="str">
        <f t="array" aca="1" ref="H24" ca="1">IF(ISBLANK(I24),"",INDEX('SFSS import'!A$1:F$59,MATCH(I24,'SFSS import'!E$1:E$59,0),3))</f>
        <v>Sandy Corrales</v>
      </c>
      <c r="I24" s="44" t="s">
        <v>132</v>
      </c>
      <c r="J24" s="36" t="s">
        <v>133</v>
      </c>
      <c r="K24" s="37" t="s">
        <v>134</v>
      </c>
      <c r="L24" s="37" t="s">
        <v>135</v>
      </c>
      <c r="M24" s="38" t="s">
        <v>136</v>
      </c>
      <c r="N24" s="59"/>
      <c r="O24" s="46"/>
      <c r="P24" s="49"/>
      <c r="Q24" s="39"/>
      <c r="R24" s="49"/>
    </row>
    <row r="25" spans="1:18" ht="12.75">
      <c r="A25" s="33" t="s">
        <v>41</v>
      </c>
      <c r="B25" s="33" t="s">
        <v>137</v>
      </c>
      <c r="C25" s="34">
        <v>419</v>
      </c>
      <c r="D25" s="34" t="str">
        <f t="array" ref="D25">INDEX('Synergy import (8232022)'!A$1:L$229,MATCH(C25,'Synergy import (8232022)'!D$1:D$229,0),8)</f>
        <v>Redden, Jennifer</v>
      </c>
      <c r="E25" s="34" t="str">
        <f t="array" ref="E25">INDEX('Synergy import (8232022)'!A$1:L$229,MATCH(C25,'Synergy import (8232022)'!D$1:D$229,0),7)</f>
        <v>Jennifer_Redden@mcpsmd.org</v>
      </c>
      <c r="F25" s="43" t="s">
        <v>138</v>
      </c>
      <c r="G25" s="52"/>
      <c r="H25" s="36" t="str">
        <f t="array" ref="H25">IF(ISBLANK(I25),"",INDEX('SFSS import'!A$1:F$59,MATCH(I25,'SFSS import'!E$1:E$59,0),3))</f>
        <v/>
      </c>
      <c r="I25" s="52"/>
      <c r="J25" s="36" t="s">
        <v>175</v>
      </c>
      <c r="K25" s="37" t="s">
        <v>176</v>
      </c>
      <c r="L25" s="55"/>
      <c r="M25" s="39"/>
      <c r="N25" s="39"/>
      <c r="O25" s="46"/>
      <c r="P25" s="49"/>
      <c r="Q25" s="39"/>
      <c r="R25" s="49"/>
    </row>
    <row r="26" spans="1:18" ht="12.75">
      <c r="A26" s="33" t="s">
        <v>139</v>
      </c>
      <c r="B26" s="33" t="s">
        <v>140</v>
      </c>
      <c r="C26" s="50">
        <v>309</v>
      </c>
      <c r="D26" s="34" t="str">
        <f t="array" ref="D26">INDEX('Synergy import (8232022)'!A$1:L$229,MATCH(C26,'Synergy import (8232022)'!D$1:D$229,0),8)</f>
        <v>Ashton, Stacy A.</v>
      </c>
      <c r="E26" s="34" t="str">
        <f t="array" ref="E26">INDEX('Synergy import (8232022)'!A$1:L$229,MATCH(C26,'Synergy import (8232022)'!D$1:D$229,0),7)</f>
        <v>Stacy_A_Ashton@mcpsmd.org</v>
      </c>
      <c r="F26" s="51" t="s">
        <v>648</v>
      </c>
      <c r="G26" s="44" t="s">
        <v>39</v>
      </c>
      <c r="H26" s="36" t="str">
        <f t="array" aca="1" ref="H26" ca="1">IF(ISBLANK(I26),"",INDEX('SFSS import'!A$1:F$59,MATCH(I26,'SFSS import'!E$1:E$59,0),3))</f>
        <v>Deneen Gordon</v>
      </c>
      <c r="I26" s="44" t="s">
        <v>40</v>
      </c>
      <c r="J26" s="36" t="s">
        <v>142</v>
      </c>
      <c r="K26" s="37" t="s">
        <v>143</v>
      </c>
      <c r="L26" s="55"/>
      <c r="M26" s="39"/>
      <c r="N26" s="39"/>
      <c r="O26" s="46"/>
      <c r="P26" s="49"/>
      <c r="Q26" s="39"/>
      <c r="R26" s="49"/>
    </row>
    <row r="27" spans="1:18" ht="12.75">
      <c r="A27" s="33" t="s">
        <v>36</v>
      </c>
      <c r="B27" s="33" t="s">
        <v>145</v>
      </c>
      <c r="C27" s="50">
        <v>302</v>
      </c>
      <c r="D27" s="34" t="str">
        <f t="array" ref="D27">INDEX('Synergy import (8232022)'!A$1:L$229,MATCH(C27,'Synergy import (8232022)'!D$1:D$229,0),8)</f>
        <v>Lloyd, Kimberly L.</v>
      </c>
      <c r="E27" s="34" t="str">
        <f t="array" ref="E27">INDEX('Synergy import (8232022)'!A$1:L$229,MATCH(C27,'Synergy import (8232022)'!D$1:D$229,0),7)</f>
        <v>Kimberly_L_Lloyd@mcpsmd.org</v>
      </c>
      <c r="F27" s="51" t="s">
        <v>645</v>
      </c>
      <c r="G27" s="44" t="s">
        <v>146</v>
      </c>
      <c r="H27" s="36" t="str">
        <f t="array" aca="1" ref="H27" ca="1">IF(ISBLANK(I27),"",INDEX('SFSS import'!A$1:F$59,MATCH(I27,'SFSS import'!E$1:E$59,0),3))</f>
        <v>Getasew Mebrate</v>
      </c>
      <c r="I27" s="44" t="s">
        <v>147</v>
      </c>
      <c r="J27" s="36" t="s">
        <v>646</v>
      </c>
      <c r="K27" s="37" t="s">
        <v>311</v>
      </c>
      <c r="L27" s="55"/>
      <c r="M27" s="39"/>
      <c r="N27" s="39"/>
      <c r="O27" s="57"/>
      <c r="P27" s="49"/>
      <c r="Q27" s="38"/>
      <c r="R27" s="49"/>
    </row>
    <row r="28" spans="1:18" ht="12.75">
      <c r="A28" s="33" t="s">
        <v>65</v>
      </c>
      <c r="B28" s="33" t="s">
        <v>153</v>
      </c>
      <c r="C28" s="50">
        <v>606</v>
      </c>
      <c r="D28" s="34" t="str">
        <f t="array" ref="D28">INDEX('Synergy import (8232022)'!A$1:L$229,MATCH(C28,'Synergy import (8232022)'!D$1:D$229,0),8)</f>
        <v>Snider, Somer</v>
      </c>
      <c r="E28" s="34" t="str">
        <f t="array" ref="E28">INDEX('Synergy import (8232022)'!A$1:L$229,MATCH(C28,'Synergy import (8232022)'!D$1:D$229,0),7)</f>
        <v>Somer_Snider@mcpsmd.org</v>
      </c>
      <c r="F28" s="51" t="s">
        <v>649</v>
      </c>
      <c r="G28" s="52"/>
      <c r="H28" s="36" t="str">
        <f t="array" ref="H28">IF(ISBLANK(I28),"",INDEX('SFSS import'!A$1:F$59,MATCH(I28,'SFSS import'!E$1:E$59,0),3))</f>
        <v/>
      </c>
      <c r="I28" s="52"/>
      <c r="J28" s="36" t="s">
        <v>67</v>
      </c>
      <c r="K28" s="37" t="s">
        <v>68</v>
      </c>
      <c r="L28" s="55"/>
      <c r="M28" s="39"/>
      <c r="N28" s="39"/>
      <c r="O28" s="57"/>
      <c r="P28" s="49"/>
      <c r="Q28" s="38" t="s">
        <v>650</v>
      </c>
      <c r="R28" s="49"/>
    </row>
    <row r="29" spans="1:18" ht="25.5">
      <c r="A29" s="33" t="s">
        <v>154</v>
      </c>
      <c r="B29" s="33" t="s">
        <v>155</v>
      </c>
      <c r="C29" s="50">
        <v>508</v>
      </c>
      <c r="D29" s="34" t="str">
        <f t="array" ref="D29">INDEX('Synergy import (8232022)'!A$1:L$229,MATCH(C29,'Synergy import (8232022)'!D$1:D$229,0),8)</f>
        <v>Walsleben, Carolynn</v>
      </c>
      <c r="E29" s="34" t="str">
        <f t="array" ref="E29">INDEX('Synergy import (8232022)'!A$1:L$229,MATCH(C29,'Synergy import (8232022)'!D$1:D$229,0),7)</f>
        <v>Carolynn_Walsleben@mcpsmd.org</v>
      </c>
      <c r="F29" s="51" t="s">
        <v>156</v>
      </c>
      <c r="G29" s="52"/>
      <c r="H29" s="36" t="str">
        <f t="array" ref="H29">IF(ISBLANK(I29),"",INDEX('SFSS import'!A$1:F$59,MATCH(I29,'SFSS import'!E$1:E$59,0),3))</f>
        <v/>
      </c>
      <c r="I29" s="52"/>
      <c r="J29" s="36" t="s">
        <v>157</v>
      </c>
      <c r="K29" s="37" t="s">
        <v>158</v>
      </c>
      <c r="L29" s="55"/>
      <c r="M29" s="39"/>
      <c r="N29" s="39"/>
      <c r="O29" s="46"/>
      <c r="P29" s="49"/>
      <c r="Q29" s="39"/>
      <c r="R29" s="49"/>
    </row>
    <row r="30" spans="1:18" ht="12.75">
      <c r="A30" s="33" t="s">
        <v>139</v>
      </c>
      <c r="B30" s="33" t="s">
        <v>159</v>
      </c>
      <c r="C30" s="50">
        <v>310</v>
      </c>
      <c r="D30" s="34" t="str">
        <f t="array" ref="D30">INDEX('Synergy import (8232022)'!A$1:L$229,MATCH(C30,'Synergy import (8232022)'!D$1:D$229,0),8)</f>
        <v>Donohue, Kristine L.</v>
      </c>
      <c r="E30" s="34" t="str">
        <f t="array" ref="E30">INDEX('Synergy import (8232022)'!A$1:L$229,MATCH(C30,'Synergy import (8232022)'!D$1:D$229,0),7)</f>
        <v>Kristine_L_Donohue@mcpsmd.org</v>
      </c>
      <c r="F30" s="51" t="s">
        <v>645</v>
      </c>
      <c r="G30" s="44" t="s">
        <v>125</v>
      </c>
      <c r="H30" s="36" t="str">
        <f t="array" aca="1" ref="H30" ca="1">IF(ISBLANK(I30),"",INDEX('SFSS import'!A$1:F$59,MATCH(I30,'SFSS import'!E$1:E$59,0),3))</f>
        <v>Nivardo Candanedo</v>
      </c>
      <c r="I30" s="44" t="s">
        <v>126</v>
      </c>
      <c r="J30" s="36" t="s">
        <v>160</v>
      </c>
      <c r="K30" s="37" t="s">
        <v>161</v>
      </c>
      <c r="L30" s="55"/>
      <c r="M30" s="59"/>
      <c r="N30" s="59"/>
      <c r="O30" s="57"/>
      <c r="P30" s="49"/>
      <c r="Q30" s="38"/>
      <c r="R30" s="49"/>
    </row>
    <row r="31" spans="1:18" ht="12.75">
      <c r="A31" s="33" t="s">
        <v>41</v>
      </c>
      <c r="B31" s="33" t="s">
        <v>162</v>
      </c>
      <c r="C31" s="50">
        <v>604</v>
      </c>
      <c r="D31" s="34" t="str">
        <f t="array" ref="D31">INDEX('Synergy import (8232022)'!A$1:L$229,MATCH(C31,'Synergy import (8232022)'!D$1:D$229,0),8)</f>
        <v>Chan, Anita</v>
      </c>
      <c r="E31" s="34" t="str">
        <f t="array" ref="E31">INDEX('Synergy import (8232022)'!A$1:L$229,MATCH(C31,'Synergy import (8232022)'!D$1:D$229,0),7)</f>
        <v>Anita_Chan@mcpsmd.org</v>
      </c>
      <c r="F31" s="56" t="s">
        <v>163</v>
      </c>
      <c r="G31" s="52"/>
      <c r="H31" s="36" t="str">
        <f t="array" ref="H31">IF(ISBLANK(I31),"",INDEX('SFSS import'!A$1:F$59,MATCH(I31,'SFSS import'!E$1:E$59,0),3))</f>
        <v/>
      </c>
      <c r="I31" s="52"/>
      <c r="J31" s="36" t="s">
        <v>175</v>
      </c>
      <c r="K31" s="37" t="s">
        <v>176</v>
      </c>
      <c r="L31" s="55"/>
      <c r="M31" s="39"/>
      <c r="N31" s="39"/>
      <c r="O31" s="46"/>
      <c r="P31" s="49"/>
      <c r="Q31" s="39"/>
      <c r="R31" s="49"/>
    </row>
    <row r="32" spans="1:18" ht="12.75">
      <c r="A32" s="33" t="s">
        <v>89</v>
      </c>
      <c r="B32" s="33" t="s">
        <v>164</v>
      </c>
      <c r="C32" s="50">
        <v>215</v>
      </c>
      <c r="D32" s="34" t="str">
        <f t="array" ref="D32">INDEX('Synergy import (8232022)'!A$1:L$229,MATCH(C32,'Synergy import (8232022)'!D$1:D$229,0),8)</f>
        <v>Lacoursiere, Elizabeth</v>
      </c>
      <c r="E32" s="34" t="str">
        <f t="array" ref="E32">INDEX('Synergy import (8232022)'!A$1:L$229,MATCH(C32,'Synergy import (8232022)'!D$1:D$229,0),7)</f>
        <v>Elizabeth_Lacoursiere@mcpsmd.org</v>
      </c>
      <c r="F32" s="51" t="s">
        <v>310</v>
      </c>
      <c r="G32" s="52"/>
      <c r="H32" s="36" t="str">
        <f t="array" ref="H32">IF(ISBLANK(I32),"",INDEX('SFSS import'!A$1:F$59,MATCH(I32,'SFSS import'!E$1:E$59,0),3))</f>
        <v/>
      </c>
      <c r="I32" s="52"/>
      <c r="J32" s="36" t="s">
        <v>50</v>
      </c>
      <c r="K32" s="37" t="s">
        <v>51</v>
      </c>
      <c r="L32" s="55"/>
      <c r="M32" s="39"/>
      <c r="N32" s="39"/>
      <c r="O32" s="46"/>
      <c r="P32" s="10"/>
      <c r="Q32" s="39"/>
      <c r="R32" s="49"/>
    </row>
    <row r="33" spans="1:18" ht="12.75">
      <c r="A33" s="33" t="s">
        <v>129</v>
      </c>
      <c r="B33" s="33" t="s">
        <v>165</v>
      </c>
      <c r="C33" s="34">
        <v>159</v>
      </c>
      <c r="D33" s="34" t="str">
        <f t="array" ref="D33">INDEX('Synergy import (8232022)'!A$1:L$229,MATCH(C33,'Synergy import (8232022)'!D$1:D$229,0),8)</f>
        <v>Reeves, Mindy D.</v>
      </c>
      <c r="E33" s="34" t="str">
        <f t="array" ref="E33">INDEX('Synergy import (8232022)'!A$1:L$229,MATCH(C33,'Synergy import (8232022)'!D$1:D$229,0),7)</f>
        <v>Mindy_D_Reeves@mcpsmd.org</v>
      </c>
      <c r="F33" s="60" t="s">
        <v>166</v>
      </c>
      <c r="G33" s="52"/>
      <c r="H33" s="36" t="str">
        <f t="array" ref="H33">IF(ISBLANK(I33),"",INDEX('SFSS import'!A$1:F$59,MATCH(I33,'SFSS import'!E$1:E$59,0),3))</f>
        <v/>
      </c>
      <c r="I33" s="52"/>
      <c r="J33" s="36" t="s">
        <v>167</v>
      </c>
      <c r="K33" s="37" t="s">
        <v>168</v>
      </c>
      <c r="L33" s="55"/>
      <c r="M33" s="59"/>
      <c r="N33" s="59"/>
      <c r="O33" s="46"/>
      <c r="P33" s="49"/>
      <c r="Q33" s="39"/>
      <c r="R33" s="49"/>
    </row>
    <row r="34" spans="1:18" ht="12.75">
      <c r="A34" s="33" t="s">
        <v>154</v>
      </c>
      <c r="B34" s="33" t="s">
        <v>169</v>
      </c>
      <c r="C34" s="50">
        <v>511</v>
      </c>
      <c r="D34" s="34" t="str">
        <f t="array" ref="D34">INDEX('Synergy import (8232022)'!A$1:L$229,MATCH(C34,'Synergy import (8232022)'!D$1:D$229,0),8)</f>
        <v>Jones, Courtney M.</v>
      </c>
      <c r="E34" s="34" t="str">
        <f t="array" ref="E34">INDEX('Synergy import (8232022)'!A$1:L$229,MATCH(C34,'Synergy import (8232022)'!D$1:D$229,0),7)</f>
        <v>Courtney_M_Jones@mcpsmd.org</v>
      </c>
      <c r="F34" s="56" t="s">
        <v>495</v>
      </c>
      <c r="G34" s="44" t="s">
        <v>170</v>
      </c>
      <c r="H34" s="36" t="str">
        <f t="array" aca="1" ref="H34" ca="1">IF(ISBLANK(I34),"",INDEX('SFSS import'!A$1:F$59,MATCH(I34,'SFSS import'!E$1:E$59,0),3))</f>
        <v>YoungMee Choi</v>
      </c>
      <c r="I34" s="44" t="s">
        <v>119</v>
      </c>
      <c r="J34" s="36" t="s">
        <v>171</v>
      </c>
      <c r="K34" s="37" t="s">
        <v>172</v>
      </c>
      <c r="L34" s="55"/>
      <c r="M34" s="39"/>
      <c r="N34" s="39"/>
      <c r="O34" s="46"/>
      <c r="P34" s="49"/>
      <c r="Q34" s="39"/>
      <c r="R34" s="49"/>
    </row>
    <row r="35" spans="1:18" ht="12.75">
      <c r="A35" s="33" t="s">
        <v>148</v>
      </c>
      <c r="B35" s="33" t="s">
        <v>173</v>
      </c>
      <c r="C35" s="50">
        <v>703</v>
      </c>
      <c r="D35" s="34" t="str">
        <f t="array" ref="D35">INDEX('Synergy import (8232022)'!A$1:L$229,MATCH(C35,'Synergy import (8232022)'!D$1:D$229,0),8)</f>
        <v>Wynne, Christopher A.</v>
      </c>
      <c r="E35" s="34" t="str">
        <f t="array" ref="E35">INDEX('Synergy import (8232022)'!A$1:L$229,MATCH(C35,'Synergy import (8232022)'!D$1:D$229,0),7)</f>
        <v>Christopher_A_Wynne@mcpsmd.org</v>
      </c>
      <c r="F35" s="56" t="s">
        <v>174</v>
      </c>
      <c r="G35" s="52"/>
      <c r="H35" s="36" t="str">
        <f t="array" ref="H35">IF(ISBLANK(I35),"",INDEX('SFSS import'!A$1:F$59,MATCH(I35,'SFSS import'!E$1:E$59,0),3))</f>
        <v/>
      </c>
      <c r="I35" s="52"/>
      <c r="J35" s="36" t="s">
        <v>251</v>
      </c>
      <c r="K35" s="37" t="s">
        <v>651</v>
      </c>
      <c r="L35" s="55"/>
      <c r="M35" s="39"/>
      <c r="N35" s="39"/>
      <c r="O35" s="57"/>
      <c r="P35" s="49"/>
      <c r="Q35" s="38"/>
      <c r="R35" s="49"/>
    </row>
    <row r="36" spans="1:18" ht="12.75">
      <c r="A36" s="33" t="s">
        <v>74</v>
      </c>
      <c r="B36" s="33" t="s">
        <v>177</v>
      </c>
      <c r="C36" s="50">
        <v>403</v>
      </c>
      <c r="D36" s="34" t="str">
        <f t="array" ref="D36">INDEX('Synergy import (8232022)'!A$1:L$229,MATCH(C36,'Synergy import (8232022)'!D$1:D$229,0),8)</f>
        <v>Smith, Jody L.</v>
      </c>
      <c r="E36" s="34" t="str">
        <f t="array" ref="E36">INDEX('Synergy import (8232022)'!A$1:L$229,MATCH(C36,'Synergy import (8232022)'!D$1:D$229,0),7)</f>
        <v>Jody_L_Smith@mcpsmd.org</v>
      </c>
      <c r="F36" s="56" t="s">
        <v>644</v>
      </c>
      <c r="G36" s="52"/>
      <c r="H36" s="36" t="str">
        <f t="array" ref="H36">IF(ISBLANK(I36),"",INDEX('SFSS import'!A$1:F$59,MATCH(I36,'SFSS import'!E$1:E$59,0),3))</f>
        <v/>
      </c>
      <c r="I36" s="52"/>
      <c r="J36" s="36" t="s">
        <v>640</v>
      </c>
      <c r="K36" s="37" t="s">
        <v>641</v>
      </c>
      <c r="L36" s="55"/>
      <c r="M36" s="39"/>
      <c r="N36" s="39"/>
      <c r="O36" s="46"/>
      <c r="P36" s="49"/>
      <c r="Q36" s="39"/>
      <c r="R36" s="49"/>
    </row>
    <row r="37" spans="1:18" ht="12.75">
      <c r="A37" s="33" t="s">
        <v>65</v>
      </c>
      <c r="B37" s="33" t="s">
        <v>178</v>
      </c>
      <c r="C37" s="50">
        <v>602</v>
      </c>
      <c r="D37" s="34" t="str">
        <f t="array" ref="D37">INDEX('Synergy import (8232022)'!A$1:L$229,MATCH(C37,'Synergy import (8232022)'!D$1:D$229,0),8)</f>
        <v>Taylor, John W.</v>
      </c>
      <c r="E37" s="34" t="str">
        <f t="array" ref="E37">INDEX('Synergy import (8232022)'!A$1:L$229,MATCH(C37,'Synergy import (8232022)'!D$1:D$229,0),7)</f>
        <v>John_Taylor@mcpsmd.org</v>
      </c>
      <c r="F37" s="51" t="s">
        <v>179</v>
      </c>
      <c r="G37" s="52"/>
      <c r="H37" s="36" t="str">
        <f t="array" ref="H37">IF(ISBLANK(I37),"",INDEX('SFSS import'!A$1:F$59,MATCH(I37,'SFSS import'!E$1:E$59,0),3))</f>
        <v/>
      </c>
      <c r="I37" s="52"/>
      <c r="J37" s="36" t="s">
        <v>180</v>
      </c>
      <c r="K37" s="37" t="s">
        <v>88</v>
      </c>
      <c r="L37" s="55"/>
      <c r="M37" s="39"/>
      <c r="N37" s="39"/>
      <c r="O37" s="46"/>
      <c r="P37" s="49" t="s">
        <v>181</v>
      </c>
      <c r="Q37" s="48" t="s">
        <v>652</v>
      </c>
      <c r="R37" s="49"/>
    </row>
    <row r="38" spans="1:18" ht="12.75">
      <c r="A38" s="33" t="s">
        <v>148</v>
      </c>
      <c r="B38" s="33" t="s">
        <v>182</v>
      </c>
      <c r="C38" s="50">
        <v>101</v>
      </c>
      <c r="D38" s="34" t="str">
        <f t="array" ref="D38">INDEX('Synergy import (8232022)'!A$1:L$229,MATCH(C38,'Synergy import (8232022)'!D$1:D$229,0),8)</f>
        <v>Bencal, Carl R.</v>
      </c>
      <c r="E38" s="34" t="str">
        <f t="array" ref="E38">INDEX('Synergy import (8232022)'!A$1:L$229,MATCH(C38,'Synergy import (8232022)'!D$1:D$229,0),7)</f>
        <v>Carl_R_Bencal@mcpsmd.org</v>
      </c>
      <c r="F38" s="56" t="s">
        <v>31</v>
      </c>
      <c r="G38" s="52"/>
      <c r="H38" s="36" t="str">
        <f t="array" ref="H38">IF(ISBLANK(I38),"",INDEX('SFSS import'!A$1:F$59,MATCH(I38,'SFSS import'!E$1:E$59,0),3))</f>
        <v/>
      </c>
      <c r="I38" s="52"/>
      <c r="J38" s="36" t="s">
        <v>251</v>
      </c>
      <c r="K38" s="37" t="s">
        <v>651</v>
      </c>
      <c r="L38" s="55"/>
      <c r="M38" s="39"/>
      <c r="N38" s="39"/>
      <c r="O38" s="46"/>
      <c r="P38" s="10"/>
      <c r="Q38" s="39"/>
      <c r="R38" s="49"/>
    </row>
    <row r="39" spans="1:18" ht="12.75">
      <c r="A39" s="33" t="s">
        <v>148</v>
      </c>
      <c r="B39" s="33" t="s">
        <v>185</v>
      </c>
      <c r="C39" s="50">
        <v>249</v>
      </c>
      <c r="D39" s="34" t="str">
        <f t="array" ref="D39">INDEX('Synergy import (8232022)'!A$1:L$229,MATCH(C39,'Synergy import (8232022)'!D$1:D$229,0),8)</f>
        <v>Owusu, Edward K.</v>
      </c>
      <c r="E39" s="34" t="str">
        <f t="array" ref="E39">INDEX('Synergy import (8232022)'!A$1:L$229,MATCH(C39,'Synergy import (8232022)'!D$1:D$229,0),7)</f>
        <v>Edward_K_Owusu@mcpsmd.org</v>
      </c>
      <c r="F39" s="56" t="s">
        <v>186</v>
      </c>
      <c r="G39" s="44" t="s">
        <v>183</v>
      </c>
      <c r="H39" s="36" t="str">
        <f t="array" aca="1" ref="H39" ca="1">IF(ISBLANK(I39),"",INDEX('SFSS import'!A$1:F$59,MATCH(I39,'SFSS import'!E$1:E$59,0),3))</f>
        <v>Shana Bailey</v>
      </c>
      <c r="I39" s="44" t="s">
        <v>184</v>
      </c>
      <c r="J39" s="36" t="s">
        <v>251</v>
      </c>
      <c r="K39" s="37" t="s">
        <v>651</v>
      </c>
      <c r="L39" s="37" t="s">
        <v>187</v>
      </c>
      <c r="M39" s="38" t="s">
        <v>188</v>
      </c>
      <c r="N39" s="39"/>
      <c r="O39" s="46"/>
      <c r="P39" s="49" t="s">
        <v>653</v>
      </c>
      <c r="Q39" s="38" t="s">
        <v>654</v>
      </c>
      <c r="R39" s="49"/>
    </row>
    <row r="40" spans="1:18" ht="12.75">
      <c r="A40" s="33" t="s">
        <v>29</v>
      </c>
      <c r="B40" s="33" t="s">
        <v>189</v>
      </c>
      <c r="C40" s="34">
        <v>706</v>
      </c>
      <c r="D40" s="34" t="str">
        <f t="array" ref="D40">INDEX('Synergy import (8232022)'!A$1:L$229,MATCH(C40,'Synergy import (8232022)'!D$1:D$229,0),8)</f>
        <v>Gilbertson, Holly A.</v>
      </c>
      <c r="E40" s="34" t="str">
        <f t="array" ref="E40">INDEX('Synergy import (8232022)'!A$1:L$229,MATCH(C40,'Synergy import (8232022)'!D$1:D$229,0),7)</f>
        <v>Holly_A_Gilbertson@mcpsmd.org</v>
      </c>
      <c r="F40" s="60" t="s">
        <v>190</v>
      </c>
      <c r="G40" s="44" t="s">
        <v>191</v>
      </c>
      <c r="H40" s="36" t="str">
        <f t="array" aca="1" ref="H40" ca="1">IF(ISBLANK(I40),"",INDEX('SFSS import'!A$1:F$59,MATCH(I40,'SFSS import'!E$1:E$59,0),3))</f>
        <v>Veronica Palleres</v>
      </c>
      <c r="I40" s="44" t="s">
        <v>192</v>
      </c>
      <c r="J40" s="36" t="s">
        <v>193</v>
      </c>
      <c r="K40" s="37" t="s">
        <v>194</v>
      </c>
      <c r="L40" s="55"/>
      <c r="M40" s="39"/>
      <c r="N40" s="39"/>
      <c r="O40" s="57"/>
      <c r="P40" s="49"/>
      <c r="Q40" s="38"/>
      <c r="R40" s="49"/>
    </row>
    <row r="41" spans="1:18" ht="15">
      <c r="A41" s="33" t="s">
        <v>195</v>
      </c>
      <c r="B41" s="33" t="s">
        <v>196</v>
      </c>
      <c r="C41" s="50">
        <v>157</v>
      </c>
      <c r="D41" s="34" t="str">
        <f t="array" ref="D41">INDEX('Synergy import (8232022)'!A$1:L$229,MATCH(C41,'Synergy import (8232022)'!D$1:D$229,0),8)</f>
        <v>Brown, Jeffrey T.</v>
      </c>
      <c r="E41" s="34" t="str">
        <f t="array" ref="E41">INDEX('Synergy import (8232022)'!A$1:L$229,MATCH(C41,'Synergy import (8232022)'!D$1:D$229,0),7)</f>
        <v>Jeffrey_T_Brown@mcpsmd.org</v>
      </c>
      <c r="F41" s="56" t="s">
        <v>197</v>
      </c>
      <c r="G41" s="44" t="s">
        <v>562</v>
      </c>
      <c r="H41" s="36" t="str">
        <f t="array" aca="1" ref="H41" ca="1">IF(ISBLANK(I41),"",INDEX('SFSS import'!A$1:F$59,MATCH(I41,'SFSS import'!E$1:E$59,0),3))</f>
        <v>Maribel De La Cruz</v>
      </c>
      <c r="I41" s="44" t="s">
        <v>563</v>
      </c>
      <c r="J41" s="36" t="s">
        <v>200</v>
      </c>
      <c r="K41" s="37" t="s">
        <v>201</v>
      </c>
      <c r="L41" s="37" t="s">
        <v>202</v>
      </c>
      <c r="M41" s="39"/>
      <c r="N41" s="39"/>
      <c r="O41" s="46"/>
      <c r="P41" s="10"/>
      <c r="Q41" s="65" t="s">
        <v>655</v>
      </c>
      <c r="R41" s="49"/>
    </row>
    <row r="42" spans="1:18" ht="12.75">
      <c r="A42" s="33" t="s">
        <v>195</v>
      </c>
      <c r="B42" s="33" t="s">
        <v>203</v>
      </c>
      <c r="C42" s="34">
        <v>100</v>
      </c>
      <c r="D42" s="34" t="str">
        <f t="array" ref="D42">INDEX('Synergy import (8232022)'!A$1:L$229,MATCH(C42,'Synergy import (8232022)'!D$1:D$229,0),8)</f>
        <v>Chep, Lawrence D.</v>
      </c>
      <c r="E42" s="34" t="str">
        <f t="array" ref="E42">INDEX('Synergy import (8232022)'!A$1:L$229,MATCH(C42,'Synergy import (8232022)'!D$1:D$229,0),7)</f>
        <v>Lawrence_D_Chep@mcpsmd.org</v>
      </c>
      <c r="F42" s="60" t="s">
        <v>166</v>
      </c>
      <c r="G42" s="44" t="s">
        <v>204</v>
      </c>
      <c r="H42" s="36" t="str">
        <f t="array" aca="1" ref="H42" ca="1">IF(ISBLANK(I42),"",INDEX('SFSS import'!A$1:F$59,MATCH(I42,'SFSS import'!E$1:E$59,0),3))</f>
        <v>Shanique Moore</v>
      </c>
      <c r="I42" s="44" t="s">
        <v>205</v>
      </c>
      <c r="J42" s="36" t="s">
        <v>206</v>
      </c>
      <c r="K42" s="37" t="s">
        <v>207</v>
      </c>
      <c r="L42" s="55"/>
      <c r="M42" s="39"/>
      <c r="N42" s="39"/>
      <c r="O42" s="57"/>
      <c r="P42" s="49"/>
      <c r="Q42" s="38"/>
      <c r="R42" s="49"/>
    </row>
    <row r="43" spans="1:18" ht="12.75">
      <c r="A43" s="33" t="s">
        <v>101</v>
      </c>
      <c r="B43" s="33" t="s">
        <v>208</v>
      </c>
      <c r="C43" s="50">
        <v>308</v>
      </c>
      <c r="D43" s="34" t="str">
        <f t="array" ref="D43">INDEX('Synergy import (8232022)'!A$1:L$229,MATCH(C43,'Synergy import (8232022)'!D$1:D$229,0),8)</f>
        <v>Bayewitz, Michael D.</v>
      </c>
      <c r="E43" s="34" t="str">
        <f t="array" ref="E43">INDEX('Synergy import (8232022)'!A$1:L$229,MATCH(C43,'Synergy import (8232022)'!D$1:D$229,0),7)</f>
        <v>Michael_D_Bayewitz@mcpsmd.org</v>
      </c>
      <c r="F43" s="51" t="s">
        <v>38</v>
      </c>
      <c r="G43" s="44" t="s">
        <v>209</v>
      </c>
      <c r="H43" s="36" t="str">
        <f t="array" aca="1" ref="H43" ca="1">IF(ISBLANK(I43),"",INDEX('SFSS import'!A$1:F$59,MATCH(I43,'SFSS import'!E$1:E$59,0),3))</f>
        <v>Zoe D'Eugenio Pinel</v>
      </c>
      <c r="I43" s="44" t="s">
        <v>210</v>
      </c>
      <c r="J43" s="36" t="s">
        <v>105</v>
      </c>
      <c r="K43" s="37" t="s">
        <v>106</v>
      </c>
      <c r="L43" s="55"/>
      <c r="M43" s="39"/>
      <c r="N43" s="39"/>
      <c r="O43" s="46"/>
      <c r="P43" s="10"/>
      <c r="Q43" s="39"/>
      <c r="R43" s="49"/>
    </row>
    <row r="44" spans="1:18" ht="25.5">
      <c r="A44" s="33" t="s">
        <v>211</v>
      </c>
      <c r="B44" s="33" t="s">
        <v>212</v>
      </c>
      <c r="C44" s="50">
        <v>238</v>
      </c>
      <c r="D44" s="34" t="str">
        <f t="array" ref="D44">INDEX('Synergy import (8232022)'!A$1:L$229,MATCH(C44,'Synergy import (8232022)'!D$1:D$229,0),8)</f>
        <v>Hambrecht, Natalie M.</v>
      </c>
      <c r="E44" s="34" t="str">
        <f t="array" ref="E44">INDEX('Synergy import (8232022)'!A$1:L$229,MATCH(C44,'Synergy import (8232022)'!D$1:D$229,0),7)</f>
        <v>Natalie_M_Hambrecht@mcpsmd.org</v>
      </c>
      <c r="F44" s="51" t="s">
        <v>656</v>
      </c>
      <c r="G44" s="52"/>
      <c r="H44" s="36" t="str">
        <f t="array" ref="H44">IF(ISBLANK(I44),"",INDEX('SFSS import'!A$1:F$59,MATCH(I44,'SFSS import'!E$1:E$59,0),3))</f>
        <v/>
      </c>
      <c r="I44" s="52"/>
      <c r="J44" s="36" t="s">
        <v>657</v>
      </c>
      <c r="K44" s="37" t="s">
        <v>213</v>
      </c>
      <c r="L44" s="55"/>
      <c r="M44" s="39"/>
      <c r="N44" s="39"/>
      <c r="O44" s="46"/>
      <c r="P44" s="10"/>
      <c r="Q44" s="39"/>
      <c r="R44" s="49"/>
    </row>
    <row r="45" spans="1:18" ht="12.75">
      <c r="A45" s="33" t="s">
        <v>52</v>
      </c>
      <c r="B45" s="33" t="s">
        <v>214</v>
      </c>
      <c r="C45" s="34">
        <v>229</v>
      </c>
      <c r="D45" s="34" t="str">
        <f t="array" ref="D45">INDEX('Synergy import (8232022)'!A$1:L$229,MATCH(C45,'Synergy import (8232022)'!D$1:D$229,0),8)</f>
        <v>Rogovoy, Stacey F.</v>
      </c>
      <c r="E45" s="34" t="str">
        <f t="array" ref="E45">INDEX('Synergy import (8232022)'!A$1:L$229,MATCH(C45,'Synergy import (8232022)'!D$1:D$229,0),7)</f>
        <v>Stacey_F_Rogovoy@mcpsmd.org</v>
      </c>
      <c r="F45" s="60" t="s">
        <v>215</v>
      </c>
      <c r="G45" s="44" t="s">
        <v>170</v>
      </c>
      <c r="H45" s="36" t="str">
        <f t="array" aca="1" ref="H45" ca="1">IF(ISBLANK(I45),"",INDEX('SFSS import'!A$1:F$59,MATCH(I45,'SFSS import'!E$1:E$59,0),3))</f>
        <v>YoungMee Choi</v>
      </c>
      <c r="I45" s="44" t="s">
        <v>119</v>
      </c>
      <c r="J45" s="36" t="s">
        <v>59</v>
      </c>
      <c r="K45" s="37" t="s">
        <v>60</v>
      </c>
      <c r="L45" s="55"/>
      <c r="M45" s="39"/>
      <c r="N45" s="39"/>
      <c r="O45" s="46"/>
      <c r="P45" s="10"/>
      <c r="Q45" s="39"/>
      <c r="R45" s="49"/>
    </row>
    <row r="46" spans="1:18" ht="12.75">
      <c r="B46" s="33" t="s">
        <v>658</v>
      </c>
      <c r="C46" s="66"/>
      <c r="D46" s="34" t="e">
        <f t="array" ref="D46">INDEX('Synergy import (8232022)'!A$1:L$229,MATCH(C46,'Synergy import (8232022)'!D$1:D$229,0),8)</f>
        <v>#N/A</v>
      </c>
      <c r="E46" s="34" t="e">
        <f t="array" ref="E46">INDEX('Synergy import (8232022)'!A$1:L$229,MATCH(C46,'Synergy import (8232022)'!D$1:D$229,0),7)</f>
        <v>#N/A</v>
      </c>
      <c r="F46" s="67" t="s">
        <v>217</v>
      </c>
      <c r="G46" s="68"/>
      <c r="H46" s="36" t="str">
        <f t="array" ref="H46">IF(ISBLANK(I46),"",INDEX('SFSS import'!A$1:F$59,MATCH(I46,'SFSS import'!E$1:E$59,0),3))</f>
        <v/>
      </c>
      <c r="I46" s="68"/>
      <c r="J46" s="36" t="s">
        <v>218</v>
      </c>
      <c r="K46" s="37" t="s">
        <v>219</v>
      </c>
      <c r="L46" s="69"/>
      <c r="M46" s="39"/>
      <c r="N46" s="39"/>
      <c r="O46" s="46"/>
      <c r="P46" s="10"/>
      <c r="Q46" s="39"/>
      <c r="R46" s="49"/>
    </row>
    <row r="47" spans="1:18" ht="12.75">
      <c r="A47" s="33" t="s">
        <v>139</v>
      </c>
      <c r="B47" s="33" t="s">
        <v>220</v>
      </c>
      <c r="C47" s="50">
        <v>808</v>
      </c>
      <c r="D47" s="34" t="str">
        <f t="array" ref="D47">INDEX('Synergy import (8232022)'!A$1:L$229,MATCH(C47,'Synergy import (8232022)'!D$1:D$229,0),8)</f>
        <v>Gorden, Sherri A.</v>
      </c>
      <c r="E47" s="34" t="str">
        <f t="array" ref="E47">INDEX('Synergy import (8232022)'!A$1:L$229,MATCH(C47,'Synergy import (8232022)'!D$1:D$229,0),7)</f>
        <v>Sherri_A_Gorden@mcpsmd.org</v>
      </c>
      <c r="F47" s="56" t="s">
        <v>221</v>
      </c>
      <c r="G47" s="70" t="s">
        <v>103</v>
      </c>
      <c r="H47" s="36" t="str">
        <f t="array" aca="1" ref="H47" ca="1">IF(ISBLANK(I47),"",INDEX('SFSS import'!A$1:F$59,MATCH(I47,'SFSS import'!E$1:E$59,0),3))</f>
        <v>Crystal Granados</v>
      </c>
      <c r="I47" s="70" t="s">
        <v>104</v>
      </c>
      <c r="J47" s="36" t="s">
        <v>222</v>
      </c>
      <c r="K47" s="37" t="s">
        <v>161</v>
      </c>
      <c r="L47" s="55"/>
      <c r="M47" s="39"/>
      <c r="N47" s="39"/>
      <c r="O47" s="46"/>
      <c r="P47" s="10"/>
      <c r="Q47" s="39"/>
      <c r="R47" s="49"/>
    </row>
    <row r="48" spans="1:18" ht="12.75">
      <c r="A48" s="33" t="s">
        <v>148</v>
      </c>
      <c r="B48" s="33" t="s">
        <v>223</v>
      </c>
      <c r="C48" s="34">
        <v>111</v>
      </c>
      <c r="D48" s="34" t="str">
        <f t="array" ref="D48">INDEX('Synergy import (8232022)'!A$1:L$229,MATCH(C48,'Synergy import (8232022)'!D$1:D$229,0),8)</f>
        <v>Cedeno, Pedro R.</v>
      </c>
      <c r="E48" s="34" t="str">
        <f t="array" ref="E48">INDEX('Synergy import (8232022)'!A$1:L$229,MATCH(C48,'Synergy import (8232022)'!D$1:D$229,0),7)</f>
        <v>Pedro_R_Cedeno@mcpsmd.org</v>
      </c>
      <c r="F48" s="43" t="s">
        <v>584</v>
      </c>
      <c r="G48" s="64" t="s">
        <v>191</v>
      </c>
      <c r="H48" s="36" t="str">
        <f t="array" aca="1" ref="H48" ca="1">IF(ISBLANK(I48),"",INDEX('SFSS import'!A$1:F$59,MATCH(I48,'SFSS import'!E$1:E$59,0),3))</f>
        <v>Veronica Palleres</v>
      </c>
      <c r="I48" s="64" t="s">
        <v>192</v>
      </c>
      <c r="J48" s="36" t="s">
        <v>151</v>
      </c>
      <c r="K48" s="37" t="s">
        <v>152</v>
      </c>
      <c r="L48" s="55"/>
      <c r="M48" s="39"/>
      <c r="N48" s="39"/>
      <c r="O48" s="46"/>
      <c r="P48" s="10"/>
      <c r="Q48" s="39"/>
      <c r="R48" s="49"/>
    </row>
    <row r="49" spans="1:18" ht="12.75">
      <c r="A49" s="33" t="s">
        <v>29</v>
      </c>
      <c r="B49" s="33" t="s">
        <v>227</v>
      </c>
      <c r="C49" s="34">
        <v>702</v>
      </c>
      <c r="D49" s="34" t="str">
        <f t="array" ref="D49">INDEX('Synergy import (8232022)'!A$1:L$229,MATCH(C49,'Synergy import (8232022)'!D$1:D$229,0),8)</f>
        <v>Delisle, Spencer</v>
      </c>
      <c r="E49" s="34" t="str">
        <f t="array" ref="E49">INDEX('Synergy import (8232022)'!A$1:L$229,MATCH(C49,'Synergy import (8232022)'!D$1:D$229,0),7)</f>
        <v>Spencer_Delisle@mcpsmd.org</v>
      </c>
      <c r="F49" s="60" t="s">
        <v>190</v>
      </c>
      <c r="G49" s="44" t="s">
        <v>191</v>
      </c>
      <c r="H49" s="36" t="str">
        <f t="array" aca="1" ref="H49" ca="1">IF(ISBLANK(I49),"",INDEX('SFSS import'!A$1:F$59,MATCH(I49,'SFSS import'!E$1:E$59,0),3))</f>
        <v>Veronica Palleres</v>
      </c>
      <c r="I49" s="44" t="s">
        <v>192</v>
      </c>
      <c r="J49" s="36" t="s">
        <v>34</v>
      </c>
      <c r="K49" s="37" t="s">
        <v>35</v>
      </c>
      <c r="L49" s="55"/>
      <c r="M49" s="39"/>
      <c r="N49" s="39"/>
      <c r="O49" s="57"/>
      <c r="P49" s="49"/>
      <c r="Q49" s="38"/>
      <c r="R49" s="49"/>
    </row>
    <row r="50" spans="1:18" ht="12.75">
      <c r="A50" s="33" t="s">
        <v>29</v>
      </c>
      <c r="B50" s="33" t="s">
        <v>228</v>
      </c>
      <c r="C50" s="50">
        <v>701</v>
      </c>
      <c r="D50" s="34" t="str">
        <f t="array" ref="D50">INDEX('Synergy import (8232022)'!A$1:L$229,MATCH(C50,'Synergy import (8232022)'!D$1:D$229,0),8)</f>
        <v>Yates, Kevin D.</v>
      </c>
      <c r="E50" s="34" t="str">
        <f t="array" ref="E50">INDEX('Synergy import (8232022)'!A$1:L$229,MATCH(C50,'Synergy import (8232022)'!D$1:D$229,0),7)</f>
        <v>Kevin_D_Yates@mcpsmd.org</v>
      </c>
      <c r="F50" s="56" t="s">
        <v>150</v>
      </c>
      <c r="G50" s="52"/>
      <c r="H50" s="36" t="str">
        <f t="array" ref="H50">IF(ISBLANK(I50),"",INDEX('SFSS import'!A$1:F$59,MATCH(I50,'SFSS import'!E$1:E$59,0),3))</f>
        <v/>
      </c>
      <c r="I50" s="52"/>
      <c r="J50" s="36" t="s">
        <v>193</v>
      </c>
      <c r="K50" s="37" t="s">
        <v>194</v>
      </c>
      <c r="L50" s="55"/>
      <c r="M50" s="39"/>
      <c r="N50" s="39"/>
      <c r="O50" s="46"/>
      <c r="P50" s="49" t="s">
        <v>229</v>
      </c>
      <c r="Q50" s="38" t="s">
        <v>659</v>
      </c>
      <c r="R50" s="49"/>
    </row>
    <row r="51" spans="1:18" ht="12.75">
      <c r="A51" s="33" t="s">
        <v>195</v>
      </c>
      <c r="B51" s="33" t="s">
        <v>230</v>
      </c>
      <c r="C51" s="50">
        <v>351</v>
      </c>
      <c r="D51" s="34" t="str">
        <f t="array" ref="D51">INDEX('Synergy import (8232022)'!A$1:L$229,MATCH(C51,'Synergy import (8232022)'!D$1:D$229,0),8)</f>
        <v>Craemer, Mark E.</v>
      </c>
      <c r="E51" s="34" t="str">
        <f t="array" ref="E51">INDEX('Synergy import (8232022)'!A$1:L$229,MATCH(C51,'Synergy import (8232022)'!D$1:D$229,0),7)</f>
        <v>Mark_Craemer@mcpsmd.org</v>
      </c>
      <c r="F51" s="56" t="s">
        <v>231</v>
      </c>
      <c r="G51" s="52"/>
      <c r="H51" s="36" t="str">
        <f t="array" ref="H51">IF(ISBLANK(I51),"",INDEX('SFSS import'!A$1:F$59,MATCH(I51,'SFSS import'!E$1:E$59,0),3))</f>
        <v/>
      </c>
      <c r="I51" s="52"/>
      <c r="J51" s="36" t="s">
        <v>200</v>
      </c>
      <c r="K51" s="37" t="s">
        <v>201</v>
      </c>
      <c r="L51" s="55"/>
      <c r="M51" s="39"/>
      <c r="N51" s="39"/>
      <c r="O51" s="46"/>
      <c r="P51" s="10"/>
      <c r="Q51" s="39"/>
      <c r="R51" s="49"/>
    </row>
    <row r="52" spans="1:18" ht="12.75">
      <c r="A52" s="33" t="s">
        <v>195</v>
      </c>
      <c r="B52" s="33" t="s">
        <v>232</v>
      </c>
      <c r="C52" s="34">
        <v>570</v>
      </c>
      <c r="D52" s="34" t="str">
        <f t="array" ref="D52">INDEX('Synergy import (8232022)'!A$1:L$229,MATCH(C52,'Synergy import (8232022)'!D$1:D$229,0),8)</f>
        <v>Walder, Daniel</v>
      </c>
      <c r="E52" s="34" t="str">
        <f t="array" ref="E52">INDEX('Synergy import (8232022)'!A$1:L$229,MATCH(C52,'Synergy import (8232022)'!D$1:D$229,0),7)</f>
        <v>Daniel_Walder@mcpsmd.org</v>
      </c>
      <c r="F52" s="43" t="s">
        <v>390</v>
      </c>
      <c r="G52" s="52"/>
      <c r="H52" s="36" t="str">
        <f t="array" ref="H52">IF(ISBLANK(I52),"",INDEX('SFSS import'!A$1:F$59,MATCH(I52,'SFSS import'!E$1:E$59,0),3))</f>
        <v/>
      </c>
      <c r="I52" s="52"/>
      <c r="J52" s="36" t="s">
        <v>167</v>
      </c>
      <c r="K52" s="37" t="s">
        <v>168</v>
      </c>
      <c r="L52" s="55"/>
      <c r="M52" s="39"/>
      <c r="N52" s="39"/>
      <c r="O52" s="46"/>
      <c r="P52" s="10"/>
      <c r="Q52" s="39"/>
      <c r="R52" s="49"/>
    </row>
    <row r="53" spans="1:18" ht="25.5">
      <c r="A53" s="33" t="s">
        <v>139</v>
      </c>
      <c r="B53" s="33" t="s">
        <v>233</v>
      </c>
      <c r="C53" s="34">
        <v>747</v>
      </c>
      <c r="D53" s="34" t="str">
        <f t="array" ref="D53">INDEX('Synergy import (8232022)'!A$1:L$229,MATCH(C53,'Synergy import (8232022)'!D$1:D$229,0),8)</f>
        <v>Casper, Meredith A.</v>
      </c>
      <c r="E53" s="34" t="str">
        <f t="array" ref="E53">INDEX('Synergy import (8232022)'!A$1:L$229,MATCH(C53,'Synergy import (8232022)'!D$1:D$229,0),7)</f>
        <v>Meredith_Casper@mcpsmd.org</v>
      </c>
      <c r="F53" s="43" t="s">
        <v>550</v>
      </c>
      <c r="G53" s="44" t="s">
        <v>234</v>
      </c>
      <c r="H53" s="36" t="str">
        <f t="array" aca="1" ref="H53" ca="1">IF(ISBLANK(I53),"",INDEX('SFSS import'!A$1:F$59,MATCH(I53,'SFSS import'!E$1:E$59,0),3))</f>
        <v>Evelyn Zuniga-Sanchez</v>
      </c>
      <c r="I53" s="44" t="s">
        <v>235</v>
      </c>
      <c r="J53" s="36" t="s">
        <v>142</v>
      </c>
      <c r="K53" s="37" t="s">
        <v>143</v>
      </c>
      <c r="L53" s="55"/>
      <c r="M53" s="39"/>
      <c r="N53" s="39"/>
      <c r="O53" s="57"/>
      <c r="P53" s="49"/>
      <c r="Q53" s="38"/>
      <c r="R53" s="49"/>
    </row>
    <row r="54" spans="1:18" ht="12.75">
      <c r="A54" s="33" t="s">
        <v>211</v>
      </c>
      <c r="B54" s="33" t="s">
        <v>236</v>
      </c>
      <c r="C54" s="34">
        <v>241</v>
      </c>
      <c r="D54" s="34" t="str">
        <f t="array" ref="D54">INDEX('Synergy import (8232022)'!A$1:L$229,MATCH(C54,'Synergy import (8232022)'!D$1:D$229,0),8)</f>
        <v>Baron, Gregg</v>
      </c>
      <c r="E54" s="34" t="str">
        <f t="array" ref="E54">INDEX('Synergy import (8232022)'!A$1:L$229,MATCH(C54,'Synergy import (8232022)'!D$1:D$229,0),7)</f>
        <v>Gregg_Baron@mcpsmd.org</v>
      </c>
      <c r="F54" s="43" t="s">
        <v>660</v>
      </c>
      <c r="G54" s="52"/>
      <c r="H54" s="36" t="str">
        <f t="array" ref="H54">IF(ISBLANK(I54),"",INDEX('SFSS import'!A$1:F$59,MATCH(I54,'SFSS import'!E$1:E$59,0),3))</f>
        <v/>
      </c>
      <c r="I54" s="52"/>
      <c r="J54" s="36" t="s">
        <v>175</v>
      </c>
      <c r="K54" s="37" t="s">
        <v>176</v>
      </c>
      <c r="L54" s="55"/>
      <c r="M54" s="39"/>
      <c r="N54" s="39"/>
      <c r="O54" s="57"/>
      <c r="P54" s="49"/>
      <c r="Q54" s="38"/>
      <c r="R54" s="49"/>
    </row>
    <row r="55" spans="1:18" ht="12.75">
      <c r="A55" s="33" t="s">
        <v>92</v>
      </c>
      <c r="B55" s="33" t="s">
        <v>237</v>
      </c>
      <c r="C55" s="50">
        <v>756</v>
      </c>
      <c r="D55" s="34" t="str">
        <f t="array" ref="D55">INDEX('Synergy import (8232022)'!A$1:L$229,MATCH(C55,'Synergy import (8232022)'!D$1:D$229,0),8)</f>
        <v>Burd, Michael W.</v>
      </c>
      <c r="E55" s="34" t="str">
        <f t="array" ref="E55">INDEX('Synergy import (8232022)'!A$1:L$229,MATCH(C55,'Synergy import (8232022)'!D$1:D$229,0),7)</f>
        <v>Michael_Burd@mcpsmd.org</v>
      </c>
      <c r="F55" s="51" t="s">
        <v>661</v>
      </c>
      <c r="G55" s="44" t="s">
        <v>238</v>
      </c>
      <c r="H55" s="36" t="str">
        <f t="array" aca="1" ref="H55" ca="1">IF(ISBLANK(I55),"",INDEX('SFSS import'!A$1:F$59,MATCH(I55,'SFSS import'!E$1:E$59,0),3))</f>
        <v>Theresa Huynh</v>
      </c>
      <c r="I55" s="44" t="s">
        <v>13</v>
      </c>
      <c r="J55" s="36" t="s">
        <v>239</v>
      </c>
      <c r="K55" s="37" t="s">
        <v>240</v>
      </c>
      <c r="L55" s="55"/>
      <c r="M55" s="39"/>
      <c r="N55" s="39"/>
      <c r="O55" s="46"/>
      <c r="P55" s="10"/>
      <c r="Q55" s="39"/>
      <c r="R55" s="49"/>
    </row>
    <row r="56" spans="1:18" ht="25.5">
      <c r="A56" s="33" t="s">
        <v>92</v>
      </c>
      <c r="B56" s="33" t="s">
        <v>241</v>
      </c>
      <c r="C56" s="34">
        <v>775</v>
      </c>
      <c r="D56" s="34" t="str">
        <f t="array" ref="D56">INDEX('Synergy import (8232022)'!A$1:L$229,MATCH(C56,'Synergy import (8232022)'!D$1:D$229,0),8)</f>
        <v>Shorts, Lisa N.</v>
      </c>
      <c r="E56" s="34" t="str">
        <f t="array" ref="E56">INDEX('Synergy import (8232022)'!A$1:L$229,MATCH(C56,'Synergy import (8232022)'!D$1:D$229,0),7)</f>
        <v>Lisa_N_Shorts@mcpsmd.org</v>
      </c>
      <c r="F56" s="60" t="s">
        <v>662</v>
      </c>
      <c r="G56" s="44" t="s">
        <v>663</v>
      </c>
      <c r="H56" s="36" t="str">
        <f t="array" aca="1" ref="H56" ca="1">IF(ISBLANK(I56),"",INDEX('SFSS import'!A$1:F$59,MATCH(I56,'SFSS import'!E$1:E$59,0),3))</f>
        <v>Pablo Molina Chemali</v>
      </c>
      <c r="I56" s="44" t="s">
        <v>568</v>
      </c>
      <c r="J56" s="36" t="s">
        <v>244</v>
      </c>
      <c r="K56" s="37" t="s">
        <v>245</v>
      </c>
      <c r="L56" s="37" t="s">
        <v>246</v>
      </c>
      <c r="M56" s="39"/>
      <c r="N56" s="39"/>
      <c r="O56" s="46"/>
      <c r="P56" s="10"/>
      <c r="Q56" s="38"/>
      <c r="R56" s="49"/>
    </row>
    <row r="57" spans="1:18" ht="21.75" customHeight="1">
      <c r="A57" s="33" t="s">
        <v>247</v>
      </c>
      <c r="B57" s="33" t="s">
        <v>248</v>
      </c>
      <c r="C57" s="50">
        <v>789</v>
      </c>
      <c r="D57" s="34" t="str">
        <f t="array" ref="D57">INDEX('Synergy import (8232022)'!A$1:L$229,MATCH(C57,'Synergy import (8232022)'!D$1:D$229,0),8)</f>
        <v>Brown, Mark</v>
      </c>
      <c r="E57" s="34" t="str">
        <f t="array" ref="E57">INDEX('Synergy import (8232022)'!A$1:L$229,MATCH(C57,'Synergy import (8232022)'!D$1:D$229,0),7)</f>
        <v>Mark_Brown@mcpsmd.org</v>
      </c>
      <c r="F57" s="51" t="s">
        <v>664</v>
      </c>
      <c r="G57" s="44" t="s">
        <v>249</v>
      </c>
      <c r="H57" s="36" t="str">
        <f t="array" aca="1" ref="H57" ca="1">IF(ISBLANK(I57),"",INDEX('SFSS import'!A$1:F$59,MATCH(I57,'SFSS import'!E$1:E$59,0),3))</f>
        <v>Oscar Buitrago</v>
      </c>
      <c r="I57" s="44" t="s">
        <v>250</v>
      </c>
      <c r="J57" s="36" t="s">
        <v>111</v>
      </c>
      <c r="K57" s="37" t="s">
        <v>112</v>
      </c>
      <c r="L57" s="55"/>
      <c r="M57" s="71"/>
      <c r="N57" s="71" t="s">
        <v>252</v>
      </c>
      <c r="O57" s="46"/>
      <c r="P57" s="49" t="s">
        <v>253</v>
      </c>
      <c r="Q57" s="38" t="s">
        <v>665</v>
      </c>
      <c r="R57" s="49"/>
    </row>
    <row r="58" spans="1:18" ht="12.75">
      <c r="B58" s="33" t="s">
        <v>254</v>
      </c>
      <c r="C58" s="35"/>
      <c r="D58" s="34" t="e">
        <f t="array" ref="D58">INDEX('Synergy import (8232022)'!A$1:L$229,MATCH(C58,'Synergy import (8232022)'!D$1:D$229,0),8)</f>
        <v>#N/A</v>
      </c>
      <c r="E58" s="34" t="e">
        <f t="array" ref="E58">INDEX('Synergy import (8232022)'!A$1:L$229,MATCH(C58,'Synergy import (8232022)'!D$1:D$229,0),7)</f>
        <v>#N/A</v>
      </c>
      <c r="F58" s="60" t="s">
        <v>197</v>
      </c>
      <c r="G58" s="52"/>
      <c r="H58" s="36" t="str">
        <f t="array" ref="H58">IF(ISBLANK(I58),"",INDEX('SFSS import'!A$1:F$59,MATCH(I58,'SFSS import'!E$1:E$59,0),3))</f>
        <v/>
      </c>
      <c r="I58" s="52"/>
      <c r="J58" s="72"/>
      <c r="K58" s="69"/>
      <c r="L58" s="55"/>
      <c r="M58" s="39"/>
      <c r="N58" s="39"/>
      <c r="O58" s="46"/>
      <c r="P58" s="10"/>
      <c r="Q58" s="39"/>
      <c r="R58" s="49"/>
    </row>
    <row r="59" spans="1:18" ht="12.75">
      <c r="B59" s="33" t="s">
        <v>255</v>
      </c>
      <c r="C59" s="35"/>
      <c r="D59" s="34" t="e">
        <f t="array" ref="D59">INDEX('Synergy import (8232022)'!A$1:L$229,MATCH(C59,'Synergy import (8232022)'!D$1:D$229,0),8)</f>
        <v>#N/A</v>
      </c>
      <c r="E59" s="34" t="e">
        <f t="array" ref="E59">INDEX('Synergy import (8232022)'!A$1:L$229,MATCH(C59,'Synergy import (8232022)'!D$1:D$229,0),7)</f>
        <v>#N/A</v>
      </c>
      <c r="F59" s="60" t="s">
        <v>256</v>
      </c>
      <c r="G59" s="52"/>
      <c r="H59" s="36" t="str">
        <f t="array" ref="H59">IF(ISBLANK(I59),"",INDEX('SFSS import'!A$1:F$59,MATCH(I59,'SFSS import'!E$1:E$59,0),3))</f>
        <v/>
      </c>
      <c r="I59" s="52"/>
      <c r="J59" s="72"/>
      <c r="K59" s="69"/>
      <c r="L59" s="55"/>
      <c r="M59" s="39"/>
      <c r="N59" s="39"/>
      <c r="O59" s="46"/>
      <c r="P59" s="10"/>
      <c r="Q59" s="39"/>
      <c r="R59" s="49"/>
    </row>
    <row r="60" spans="1:18" ht="12.75">
      <c r="B60" s="33" t="s">
        <v>257</v>
      </c>
      <c r="C60" s="35"/>
      <c r="D60" s="34" t="e">
        <f t="array" ref="D60">INDEX('Synergy import (8232022)'!A$1:L$229,MATCH(C60,'Synergy import (8232022)'!D$1:D$229,0),8)</f>
        <v>#N/A</v>
      </c>
      <c r="E60" s="34" t="e">
        <f t="array" ref="E60">INDEX('Synergy import (8232022)'!A$1:L$229,MATCH(C60,'Synergy import (8232022)'!D$1:D$229,0),7)</f>
        <v>#N/A</v>
      </c>
      <c r="F60" s="60" t="s">
        <v>197</v>
      </c>
      <c r="G60" s="52"/>
      <c r="H60" s="36" t="str">
        <f t="array" ref="H60">IF(ISBLANK(I60),"",INDEX('SFSS import'!A$1:F$59,MATCH(I60,'SFSS import'!E$1:E$59,0),3))</f>
        <v/>
      </c>
      <c r="I60" s="52"/>
      <c r="J60" s="72"/>
      <c r="K60" s="69"/>
      <c r="L60" s="55"/>
      <c r="M60" s="39"/>
      <c r="N60" s="39"/>
      <c r="O60" s="57"/>
      <c r="P60" s="49"/>
      <c r="Q60" s="38" t="s">
        <v>666</v>
      </c>
      <c r="R60" s="49"/>
    </row>
    <row r="61" spans="1:18" ht="12.75">
      <c r="B61" s="33" t="s">
        <v>258</v>
      </c>
      <c r="C61" s="34"/>
      <c r="D61" s="34" t="e">
        <f t="array" ref="D61">INDEX('Synergy import (8232022)'!A$1:L$229,MATCH(C61,'Synergy import (8232022)'!D$1:D$229,0),8)</f>
        <v>#N/A</v>
      </c>
      <c r="E61" s="34" t="e">
        <f t="array" ref="E61">INDEX('Synergy import (8232022)'!A$1:L$229,MATCH(C61,'Synergy import (8232022)'!D$1:D$229,0),7)</f>
        <v>#N/A</v>
      </c>
      <c r="F61" s="43" t="s">
        <v>221</v>
      </c>
      <c r="G61" s="52"/>
      <c r="H61" s="36" t="str">
        <f t="array" ref="H61">IF(ISBLANK(I61),"",INDEX('SFSS import'!A$1:F$59,MATCH(I61,'SFSS import'!E$1:E$59,0),3))</f>
        <v/>
      </c>
      <c r="I61" s="52"/>
      <c r="J61" s="72"/>
      <c r="K61" s="69"/>
      <c r="L61" s="55"/>
      <c r="M61" s="39"/>
      <c r="N61" s="39"/>
      <c r="O61" s="57"/>
      <c r="P61" s="49"/>
      <c r="Q61" s="38" t="s">
        <v>667</v>
      </c>
      <c r="R61" s="49"/>
    </row>
    <row r="62" spans="1:18" ht="12.75">
      <c r="B62" s="33" t="s">
        <v>259</v>
      </c>
      <c r="C62" s="73"/>
      <c r="D62" s="34" t="e">
        <f t="array" ref="D62">INDEX('Synergy import (8232022)'!A$1:L$229,MATCH(C62,'Synergy import (8232022)'!D$1:D$229,0),8)</f>
        <v>#N/A</v>
      </c>
      <c r="E62" s="34" t="e">
        <f t="array" ref="E62">INDEX('Synergy import (8232022)'!A$1:L$229,MATCH(C62,'Synergy import (8232022)'!D$1:D$229,0),7)</f>
        <v>#N/A</v>
      </c>
      <c r="F62" s="56" t="s">
        <v>668</v>
      </c>
      <c r="G62" s="52"/>
      <c r="H62" s="36" t="str">
        <f t="array" ref="H62">IF(ISBLANK(I62),"",INDEX('SFSS import'!A$1:F$59,MATCH(I62,'SFSS import'!E$1:E$59,0),3))</f>
        <v/>
      </c>
      <c r="I62" s="52"/>
      <c r="J62" s="72"/>
      <c r="K62" s="69"/>
      <c r="L62" s="55"/>
      <c r="M62" s="39"/>
      <c r="N62" s="39"/>
      <c r="O62" s="46"/>
      <c r="P62" s="10"/>
      <c r="Q62" s="39"/>
      <c r="R62" s="49"/>
    </row>
    <row r="63" spans="1:18" ht="12.75">
      <c r="B63" s="33" t="s">
        <v>260</v>
      </c>
      <c r="C63" s="49"/>
      <c r="D63" s="34" t="e">
        <f t="array" ref="D63">INDEX('Synergy import (8232022)'!A$1:L$229,MATCH(C63,'Synergy import (8232022)'!D$1:D$229,0),8)</f>
        <v>#N/A</v>
      </c>
      <c r="E63" s="34" t="e">
        <f t="array" ref="E63">INDEX('Synergy import (8232022)'!A$1:L$229,MATCH(C63,'Synergy import (8232022)'!D$1:D$229,0),7)</f>
        <v>#N/A</v>
      </c>
      <c r="F63" s="74" t="s">
        <v>261</v>
      </c>
      <c r="G63" s="52"/>
      <c r="H63" s="36" t="str">
        <f t="array" ref="H63">IF(ISBLANK(I63),"",INDEX('SFSS import'!A$1:F$59,MATCH(I63,'SFSS import'!E$1:E$59,0),3))</f>
        <v/>
      </c>
      <c r="I63" s="52"/>
      <c r="J63" s="72"/>
      <c r="K63" s="69"/>
      <c r="L63" s="55"/>
      <c r="M63" s="39"/>
      <c r="N63" s="39"/>
      <c r="O63" s="46"/>
      <c r="P63" s="10"/>
      <c r="Q63" s="38" t="s">
        <v>669</v>
      </c>
      <c r="R63" s="49"/>
    </row>
    <row r="64" spans="1:18" ht="12.75">
      <c r="B64" s="33" t="s">
        <v>262</v>
      </c>
      <c r="C64" s="35"/>
      <c r="D64" s="34" t="e">
        <f t="array" ref="D64">INDEX('Synergy import (8232022)'!A$1:L$229,MATCH(C64,'Synergy import (8232022)'!D$1:D$229,0),8)</f>
        <v>#N/A</v>
      </c>
      <c r="E64" s="34" t="e">
        <f t="array" ref="E64">INDEX('Synergy import (8232022)'!A$1:L$229,MATCH(C64,'Synergy import (8232022)'!D$1:D$229,0),7)</f>
        <v>#N/A</v>
      </c>
      <c r="F64" s="60" t="s">
        <v>197</v>
      </c>
      <c r="G64" s="52"/>
      <c r="H64" s="36" t="str">
        <f t="array" ref="H64">IF(ISBLANK(I64),"",INDEX('SFSS import'!A$1:F$59,MATCH(I64,'SFSS import'!E$1:E$59,0),3))</f>
        <v/>
      </c>
      <c r="I64" s="52"/>
      <c r="J64" s="72"/>
      <c r="K64" s="69"/>
      <c r="L64" s="55"/>
      <c r="M64" s="39"/>
      <c r="N64" s="39"/>
      <c r="O64" s="57"/>
      <c r="P64" s="49"/>
      <c r="Q64" s="38" t="s">
        <v>670</v>
      </c>
      <c r="R64" s="49"/>
    </row>
    <row r="65" spans="1:18" ht="12.75">
      <c r="A65" s="33" t="s">
        <v>36</v>
      </c>
      <c r="B65" s="33" t="s">
        <v>263</v>
      </c>
      <c r="C65" s="34">
        <v>303</v>
      </c>
      <c r="D65" s="34" t="str">
        <f t="array" ref="D65">INDEX('Synergy import (8232022)'!A$1:L$229,MATCH(C65,'Synergy import (8232022)'!D$1:D$229,0),8)</f>
        <v>Lashley, Lakeisha D.</v>
      </c>
      <c r="E65" s="34" t="str">
        <f t="array" ref="E65">INDEX('Synergy import (8232022)'!A$1:L$229,MATCH(C65,'Synergy import (8232022)'!D$1:D$229,0),7)</f>
        <v>Lakeisha_D_Lashley@mcpsmd.org</v>
      </c>
      <c r="F65" s="43" t="s">
        <v>326</v>
      </c>
      <c r="G65" s="44" t="s">
        <v>39</v>
      </c>
      <c r="H65" s="36" t="str">
        <f t="array" aca="1" ref="H65" ca="1">IF(ISBLANK(I65),"",INDEX('SFSS import'!A$1:F$59,MATCH(I65,'SFSS import'!E$1:E$59,0),3))</f>
        <v>Deneen Gordon</v>
      </c>
      <c r="I65" s="44" t="s">
        <v>40</v>
      </c>
      <c r="J65" s="36" t="s">
        <v>470</v>
      </c>
      <c r="K65" s="37" t="s">
        <v>471</v>
      </c>
      <c r="L65" s="55"/>
      <c r="M65" s="39"/>
      <c r="N65" s="39"/>
      <c r="O65" s="46"/>
      <c r="P65" s="10"/>
      <c r="Q65" s="39"/>
      <c r="R65" s="49"/>
    </row>
    <row r="66" spans="1:18" ht="12.75">
      <c r="A66" s="33" t="s">
        <v>211</v>
      </c>
      <c r="B66" s="33" t="s">
        <v>264</v>
      </c>
      <c r="C66" s="34">
        <v>233</v>
      </c>
      <c r="D66" s="34" t="str">
        <f t="array" ref="D66">INDEX('Synergy import (8232022)'!A$1:L$229,MATCH(C66,'Synergy import (8232022)'!D$1:D$229,0),8)</f>
        <v>Lee, Christina S.</v>
      </c>
      <c r="E66" s="34" t="str">
        <f t="array" ref="E66">INDEX('Synergy import (8232022)'!A$1:L$229,MATCH(C66,'Synergy import (8232022)'!D$1:D$229,0),7)</f>
        <v>Christina_S_Lee@mcpsmd.org</v>
      </c>
      <c r="F66" s="43" t="s">
        <v>47</v>
      </c>
      <c r="G66" s="52"/>
      <c r="H66" s="36" t="str">
        <f t="array" ref="H66">IF(ISBLANK(I66),"",INDEX('SFSS import'!A$1:F$59,MATCH(I66,'SFSS import'!E$1:E$59,0),3))</f>
        <v/>
      </c>
      <c r="I66" s="52"/>
      <c r="J66" s="36" t="s">
        <v>43</v>
      </c>
      <c r="K66" s="37" t="s">
        <v>44</v>
      </c>
      <c r="L66" s="55"/>
      <c r="M66" s="39"/>
      <c r="N66" s="39"/>
      <c r="O66" s="46"/>
      <c r="P66" s="10"/>
      <c r="Q66" s="39"/>
      <c r="R66" s="49"/>
    </row>
    <row r="67" spans="1:18" ht="12.75">
      <c r="A67" s="33" t="s">
        <v>25</v>
      </c>
      <c r="B67" s="33" t="s">
        <v>265</v>
      </c>
      <c r="C67" s="50">
        <v>219</v>
      </c>
      <c r="D67" s="34" t="str">
        <f t="array" ref="D67">INDEX('Synergy import (8232022)'!A$1:L$229,MATCH(C67,'Synergy import (8232022)'!D$1:D$229,0),8)</f>
        <v>Longest, April D.</v>
      </c>
      <c r="E67" s="34" t="str">
        <f t="array" ref="E67">INDEX('Synergy import (8232022)'!A$1:L$229,MATCH(C67,'Synergy import (8232022)'!D$1:D$229,0),7)</f>
        <v>April_D_Longest@mcpsmd.org</v>
      </c>
      <c r="F67" s="56" t="s">
        <v>266</v>
      </c>
      <c r="G67" s="52"/>
      <c r="H67" s="36" t="str">
        <f t="array" ref="H67">IF(ISBLANK(I67),"",INDEX('SFSS import'!A$1:F$59,MATCH(I67,'SFSS import'!E$1:E$59,0),3))</f>
        <v/>
      </c>
      <c r="I67" s="52"/>
      <c r="J67" s="53" t="s">
        <v>27</v>
      </c>
      <c r="K67" s="54" t="s">
        <v>28</v>
      </c>
      <c r="L67" s="37" t="s">
        <v>63</v>
      </c>
      <c r="M67" s="39"/>
      <c r="N67" s="39"/>
      <c r="O67" s="46"/>
      <c r="P67" s="10"/>
      <c r="Q67" s="39"/>
      <c r="R67" s="49"/>
    </row>
    <row r="68" spans="1:18" ht="12.75">
      <c r="A68" s="33" t="s">
        <v>69</v>
      </c>
      <c r="B68" s="33" t="s">
        <v>267</v>
      </c>
      <c r="C68" s="50">
        <v>507</v>
      </c>
      <c r="D68" s="34" t="str">
        <f t="array" ref="D68">INDEX('Synergy import (8232022)'!A$1:L$229,MATCH(C68,'Synergy import (8232022)'!D$1:D$229,0),8)</f>
        <v>Beidleman, Joel L.</v>
      </c>
      <c r="E68" s="34" t="str">
        <f t="array" ref="E68">INDEX('Synergy import (8232022)'!A$1:L$229,MATCH(C68,'Synergy import (8232022)'!D$1:D$229,0),7)</f>
        <v>Joel_L_Beidleman@mcpsmd.org</v>
      </c>
      <c r="F68" s="56" t="s">
        <v>268</v>
      </c>
      <c r="G68" s="52"/>
      <c r="H68" s="36" t="str">
        <f t="array" ref="H68">IF(ISBLANK(I68),"",INDEX('SFSS import'!A$1:F$59,MATCH(I68,'SFSS import'!E$1:E$59,0),3))</f>
        <v/>
      </c>
      <c r="I68" s="52"/>
      <c r="J68" s="36" t="s">
        <v>269</v>
      </c>
      <c r="K68" s="37" t="s">
        <v>270</v>
      </c>
      <c r="L68" s="55"/>
      <c r="M68" s="39"/>
      <c r="N68" s="39"/>
      <c r="O68" s="57"/>
      <c r="P68" s="49"/>
      <c r="Q68" s="38" t="s">
        <v>671</v>
      </c>
      <c r="R68" s="49"/>
    </row>
    <row r="69" spans="1:18" ht="12.75">
      <c r="A69" s="33" t="s">
        <v>129</v>
      </c>
      <c r="B69" s="33" t="s">
        <v>271</v>
      </c>
      <c r="C69" s="34">
        <v>566</v>
      </c>
      <c r="D69" s="34" t="str">
        <f t="array" ref="D69">INDEX('Synergy import (8232022)'!A$1:L$229,MATCH(C69,'Synergy import (8232022)'!D$1:D$229,0),8)</f>
        <v>Williams, Erica W.</v>
      </c>
      <c r="E69" s="34" t="str">
        <f t="array" ref="E69">INDEX('Synergy import (8232022)'!A$1:L$229,MATCH(C69,'Synergy import (8232022)'!D$1:D$229,0),7)</f>
        <v>Erica_Williams@mcpsmd.org</v>
      </c>
      <c r="F69" s="60" t="s">
        <v>647</v>
      </c>
      <c r="G69" s="44" t="s">
        <v>321</v>
      </c>
      <c r="H69" s="36" t="str">
        <f t="array" aca="1" ref="H69" ca="1">IF(ISBLANK(I69),"",INDEX('SFSS import'!A$1:F$59,MATCH(I69,'SFSS import'!E$1:E$59,0),3))</f>
        <v>Sandra Woods</v>
      </c>
      <c r="I69" s="44" t="s">
        <v>554</v>
      </c>
      <c r="J69" s="36" t="s">
        <v>133</v>
      </c>
      <c r="K69" s="37" t="s">
        <v>134</v>
      </c>
      <c r="L69" s="55"/>
      <c r="M69" s="39"/>
      <c r="N69" s="39"/>
      <c r="O69" s="57"/>
      <c r="P69" s="49"/>
      <c r="Q69" s="38"/>
      <c r="R69" s="49"/>
    </row>
    <row r="70" spans="1:18" ht="25.5">
      <c r="A70" s="33" t="s">
        <v>154</v>
      </c>
      <c r="B70" s="33" t="s">
        <v>274</v>
      </c>
      <c r="C70" s="50">
        <v>549</v>
      </c>
      <c r="D70" s="34" t="str">
        <f t="array" ref="D70">INDEX('Synergy import (8232022)'!A$1:L$229,MATCH(C70,'Synergy import (8232022)'!D$1:D$229,0),8)</f>
        <v>Fine, Joshua S.</v>
      </c>
      <c r="E70" s="34" t="str">
        <f t="array" ref="E70">INDEX('Synergy import (8232022)'!A$1:L$229,MATCH(C70,'Synergy import (8232022)'!D$1:D$229,0),7)</f>
        <v>Joshua_Fine@mcpsmd.org</v>
      </c>
      <c r="F70" s="56" t="s">
        <v>275</v>
      </c>
      <c r="G70" s="44" t="s">
        <v>276</v>
      </c>
      <c r="H70" s="36" t="str">
        <f t="array" aca="1" ref="H70" ca="1">IF(ISBLANK(I70),"",INDEX('SFSS import'!A$1:F$59,MATCH(I70,'SFSS import'!E$1:E$59,0),3))</f>
        <v>Magda Sobalvarro-Ochoa</v>
      </c>
      <c r="I70" s="44" t="s">
        <v>277</v>
      </c>
      <c r="J70" s="36" t="s">
        <v>171</v>
      </c>
      <c r="K70" s="37" t="s">
        <v>172</v>
      </c>
      <c r="L70" s="55"/>
      <c r="M70" s="39"/>
      <c r="N70" s="39"/>
      <c r="O70" s="57"/>
      <c r="P70" s="49"/>
      <c r="Q70" s="38"/>
      <c r="R70" s="49"/>
    </row>
    <row r="71" spans="1:18" ht="12.75">
      <c r="A71" s="33" t="s">
        <v>45</v>
      </c>
      <c r="B71" s="33" t="s">
        <v>278</v>
      </c>
      <c r="C71" s="50">
        <v>506</v>
      </c>
      <c r="D71" s="34" t="str">
        <f t="array" ref="D71">INDEX('Synergy import (8232022)'!A$1:L$229,MATCH(C71,'Synergy import (8232022)'!D$1:D$229,0),8)</f>
        <v>Fish, Angie L.</v>
      </c>
      <c r="E71" s="34" t="str">
        <f t="array" ref="E71">INDEX('Synergy import (8232022)'!A$1:L$229,MATCH(C71,'Synergy import (8232022)'!D$1:D$229,0),7)</f>
        <v>Angie_L_Fish@mcpsmd.org</v>
      </c>
      <c r="F71" s="56" t="s">
        <v>279</v>
      </c>
      <c r="G71" s="44" t="s">
        <v>280</v>
      </c>
      <c r="H71" s="36" t="str">
        <f t="array" aca="1" ref="H71" ca="1">IF(ISBLANK(I71),"",INDEX('SFSS import'!A$1:F$59,MATCH(I71,'SFSS import'!E$1:E$59,0),3))</f>
        <v>Lan Nguyen</v>
      </c>
      <c r="I71" s="44" t="s">
        <v>281</v>
      </c>
      <c r="J71" s="36" t="s">
        <v>282</v>
      </c>
      <c r="K71" s="37" t="s">
        <v>283</v>
      </c>
      <c r="L71" s="55"/>
      <c r="M71" s="39"/>
      <c r="N71" s="39"/>
      <c r="O71" s="57"/>
      <c r="P71" s="49"/>
      <c r="Q71" s="38"/>
      <c r="R71" s="49"/>
    </row>
    <row r="72" spans="1:18" ht="12.75">
      <c r="A72" s="33" t="s">
        <v>284</v>
      </c>
      <c r="B72" s="33" t="s">
        <v>285</v>
      </c>
      <c r="C72" s="34">
        <v>803</v>
      </c>
      <c r="D72" s="34" t="str">
        <f t="array" ref="D72">INDEX('Synergy import (8232022)'!A$1:L$229,MATCH(C72,'Synergy import (8232022)'!D$1:D$229,0),8)</f>
        <v>Taylor-Cox, Jennifer</v>
      </c>
      <c r="E72" s="34" t="str">
        <f t="array" ref="E72">INDEX('Synergy import (8232022)'!A$1:L$229,MATCH(C72,'Synergy import (8232022)'!D$1:D$229,0),7)</f>
        <v>Jennifer_Taylor-Cox@mcpsmd.org</v>
      </c>
      <c r="F72" s="60" t="s">
        <v>286</v>
      </c>
      <c r="G72" s="44" t="s">
        <v>287</v>
      </c>
      <c r="H72" s="36" t="str">
        <f t="array" aca="1" ref="H72" ca="1">IF(ISBLANK(I72),"",INDEX('SFSS import'!A$1:F$59,MATCH(I72,'SFSS import'!E$1:E$59,0),3))</f>
        <v>Veronica Gonzalez</v>
      </c>
      <c r="I72" s="44" t="s">
        <v>288</v>
      </c>
      <c r="J72" s="36" t="s">
        <v>289</v>
      </c>
      <c r="K72" s="37" t="s">
        <v>290</v>
      </c>
      <c r="L72" s="55"/>
      <c r="M72" s="59"/>
      <c r="N72" s="59"/>
      <c r="O72" s="46"/>
      <c r="P72" s="10"/>
      <c r="Q72" s="39"/>
      <c r="R72" s="49"/>
    </row>
    <row r="73" spans="1:18" ht="12.75">
      <c r="A73" s="33" t="s">
        <v>291</v>
      </c>
      <c r="B73" s="33" t="s">
        <v>292</v>
      </c>
      <c r="C73" s="50">
        <v>248</v>
      </c>
      <c r="D73" s="34" t="str">
        <f t="array" ref="D73">INDEX('Synergy import (8232022)'!A$1:L$229,MATCH(C73,'Synergy import (8232022)'!D$1:D$229,0),8)</f>
        <v>Muhammad, Shahid A.</v>
      </c>
      <c r="E73" s="34" t="str">
        <f t="array" ref="E73">INDEX('Synergy import (8232022)'!A$1:L$229,MATCH(C73,'Synergy import (8232022)'!D$1:D$229,0),7)</f>
        <v>Shahid_Muhammad@mcpsmd.org</v>
      </c>
      <c r="F73" s="51" t="s">
        <v>293</v>
      </c>
      <c r="G73" s="44" t="s">
        <v>272</v>
      </c>
      <c r="H73" s="36" t="str">
        <f t="array" aca="1" ref="H73" ca="1">IF(ISBLANK(I73),"",INDEX('SFSS import'!A$1:F$59,MATCH(I73,'SFSS import'!E$1:E$59,0),3))</f>
        <v>Giovanna Raffo</v>
      </c>
      <c r="I73" s="44" t="s">
        <v>273</v>
      </c>
      <c r="J73" s="36" t="s">
        <v>672</v>
      </c>
      <c r="K73" s="37" t="s">
        <v>673</v>
      </c>
      <c r="L73" s="37" t="s">
        <v>294</v>
      </c>
      <c r="M73" s="59"/>
      <c r="N73" s="59"/>
      <c r="O73" s="46"/>
      <c r="P73" s="10"/>
      <c r="Q73" s="38" t="s">
        <v>674</v>
      </c>
      <c r="R73" s="49"/>
    </row>
    <row r="74" spans="1:18" ht="12.75">
      <c r="A74" s="33" t="s">
        <v>148</v>
      </c>
      <c r="B74" s="33" t="s">
        <v>295</v>
      </c>
      <c r="C74" s="50">
        <v>106</v>
      </c>
      <c r="D74" s="34" t="str">
        <f t="array" ref="D74">INDEX('Synergy import (8232022)'!A$1:L$229,MATCH(C74,'Synergy import (8232022)'!D$1:D$229,0),8)</f>
        <v>Yates, Lita M.</v>
      </c>
      <c r="E74" s="34" t="str">
        <f t="array" ref="E74">INDEX('Synergy import (8232022)'!A$1:L$229,MATCH(C74,'Synergy import (8232022)'!D$1:D$229,0),7)</f>
        <v>Lita_M_Yates@mcpsmd.org</v>
      </c>
      <c r="F74" s="56" t="s">
        <v>141</v>
      </c>
      <c r="G74" s="44" t="s">
        <v>675</v>
      </c>
      <c r="H74" s="36" t="str">
        <f t="array" aca="1" ref="H74" ca="1">IF(ISBLANK(I74),"",INDEX('SFSS import'!A$1:F$59,MATCH(I74,'SFSS import'!E$1:E$59,0),3))</f>
        <v>Paty Williams</v>
      </c>
      <c r="I74" s="44" t="s">
        <v>296</v>
      </c>
      <c r="J74" s="36" t="s">
        <v>433</v>
      </c>
      <c r="K74" s="37" t="s">
        <v>434</v>
      </c>
      <c r="L74" s="55"/>
      <c r="M74" s="39"/>
      <c r="N74" s="39"/>
      <c r="O74" s="46"/>
      <c r="P74" s="10"/>
      <c r="Q74" s="39"/>
      <c r="R74" s="49"/>
    </row>
    <row r="75" spans="1:18" ht="12.75">
      <c r="A75" s="33" t="s">
        <v>211</v>
      </c>
      <c r="B75" s="33" t="s">
        <v>297</v>
      </c>
      <c r="C75" s="50">
        <v>237</v>
      </c>
      <c r="D75" s="34" t="str">
        <f t="array" ref="D75">INDEX('Synergy import (8232022)'!A$1:L$229,MATCH(C75,'Synergy import (8232022)'!D$1:D$229,0),8)</f>
        <v>Jones, Joey N.</v>
      </c>
      <c r="E75" s="34" t="str">
        <f t="array" ref="E75">INDEX('Synergy import (8232022)'!A$1:L$229,MATCH(C75,'Synergy import (8232022)'!D$1:D$229,0),7)</f>
        <v>Joey_N_Jones@mcpsmd.org</v>
      </c>
      <c r="F75" s="56" t="s">
        <v>298</v>
      </c>
      <c r="G75" s="52"/>
      <c r="H75" s="36" t="str">
        <f t="array" ref="H75">IF(ISBLANK(I75),"",INDEX('SFSS import'!A$1:F$59,MATCH(I75,'SFSS import'!E$1:E$59,0),3))</f>
        <v/>
      </c>
      <c r="I75" s="52"/>
      <c r="J75" s="36" t="s">
        <v>43</v>
      </c>
      <c r="K75" s="37" t="s">
        <v>44</v>
      </c>
      <c r="L75" s="55"/>
      <c r="M75" s="39"/>
      <c r="N75" s="39"/>
      <c r="O75" s="46"/>
      <c r="P75" s="10"/>
      <c r="Q75" s="38" t="s">
        <v>676</v>
      </c>
      <c r="R75" s="49"/>
    </row>
    <row r="76" spans="1:18" ht="12.75">
      <c r="A76" s="33" t="s">
        <v>291</v>
      </c>
      <c r="B76" s="33" t="s">
        <v>299</v>
      </c>
      <c r="C76" s="50">
        <v>553</v>
      </c>
      <c r="D76" s="34" t="str">
        <f t="array" ref="D76">INDEX('Synergy import (8232022)'!A$1:L$229,MATCH(C76,'Synergy import (8232022)'!D$1:D$229,0),8)</f>
        <v>Summers, Paula G.</v>
      </c>
      <c r="E76" s="34" t="str">
        <f t="array" ref="E76">INDEX('Synergy import (8232022)'!A$1:L$229,MATCH(C76,'Synergy import (8232022)'!D$1:D$229,0),7)</f>
        <v>Paula_G_Summers@mcpsmd.org</v>
      </c>
      <c r="F76" s="56" t="s">
        <v>573</v>
      </c>
      <c r="G76" s="44" t="s">
        <v>300</v>
      </c>
      <c r="H76" s="36" t="str">
        <f t="array" aca="1" ref="H76" ca="1">IF(ISBLANK(I76),"",INDEX('SFSS import'!A$1:F$59,MATCH(I76,'SFSS import'!E$1:E$59,0),3))</f>
        <v>Alejandra Jarquin</v>
      </c>
      <c r="I76" s="44" t="s">
        <v>301</v>
      </c>
      <c r="J76" s="36" t="s">
        <v>302</v>
      </c>
      <c r="K76" s="37" t="s">
        <v>303</v>
      </c>
      <c r="L76" s="37" t="s">
        <v>144</v>
      </c>
      <c r="M76" s="39"/>
      <c r="N76" s="39"/>
      <c r="O76" s="57"/>
      <c r="P76" s="49"/>
      <c r="Q76" s="38"/>
      <c r="R76" s="49"/>
    </row>
    <row r="77" spans="1:18" ht="12.75">
      <c r="A77" s="33" t="s">
        <v>291</v>
      </c>
      <c r="B77" s="33" t="s">
        <v>304</v>
      </c>
      <c r="C77" s="50">
        <v>551</v>
      </c>
      <c r="D77" s="34" t="str">
        <f t="array" ref="D77">INDEX('Synergy import (8232022)'!A$1:L$229,MATCH(C77,'Synergy import (8232022)'!D$1:D$229,0),8)</f>
        <v>Dimmick, Cary D.</v>
      </c>
      <c r="E77" s="34" t="str">
        <f t="array" ref="E77">INDEX('Synergy import (8232022)'!A$1:L$229,MATCH(C77,'Synergy import (8232022)'!D$1:D$229,0),7)</f>
        <v>Cary_Dimmick@mcpsmd.org</v>
      </c>
      <c r="F77" s="56" t="s">
        <v>305</v>
      </c>
      <c r="G77" s="44" t="s">
        <v>300</v>
      </c>
      <c r="H77" s="36" t="str">
        <f t="array" aca="1" ref="H77" ca="1">IF(ISBLANK(I77),"",INDEX('SFSS import'!A$1:F$59,MATCH(I77,'SFSS import'!E$1:E$59,0),3))</f>
        <v>Alejandra Jarquin</v>
      </c>
      <c r="I77" s="44" t="s">
        <v>301</v>
      </c>
      <c r="J77" s="36" t="s">
        <v>302</v>
      </c>
      <c r="K77" s="37" t="s">
        <v>303</v>
      </c>
      <c r="L77" s="55"/>
      <c r="M77" s="38"/>
      <c r="N77" s="38" t="s">
        <v>306</v>
      </c>
      <c r="O77" s="46"/>
      <c r="P77" s="49" t="s">
        <v>307</v>
      </c>
      <c r="Q77" s="38" t="s">
        <v>677</v>
      </c>
      <c r="R77" s="49"/>
    </row>
    <row r="78" spans="1:18" ht="12.75">
      <c r="A78" s="33" t="s">
        <v>291</v>
      </c>
      <c r="B78" s="33" t="s">
        <v>308</v>
      </c>
      <c r="C78" s="34">
        <v>554</v>
      </c>
      <c r="D78" s="34" t="str">
        <f t="array" ref="D78">INDEX('Synergy import (8232022)'!A$1:L$229,MATCH(C78,'Synergy import (8232022)'!D$1:D$229,0),8)</f>
        <v>Dolan Rindner, Ann B.</v>
      </c>
      <c r="E78" s="34" t="str">
        <f t="array" ref="E78">INDEX('Synergy import (8232022)'!A$1:L$229,MATCH(C78,'Synergy import (8232022)'!D$1:D$229,0),7)</f>
        <v>Ann_B_Dolan@mcpsmd.org</v>
      </c>
      <c r="F78" s="43" t="s">
        <v>293</v>
      </c>
      <c r="G78" s="44" t="s">
        <v>300</v>
      </c>
      <c r="H78" s="36" t="str">
        <f t="array" aca="1" ref="H78" ca="1">IF(ISBLANK(I78),"",INDEX('SFSS import'!A$1:F$59,MATCH(I78,'SFSS import'!E$1:E$59,0),3))</f>
        <v>Alejandra Jarquin</v>
      </c>
      <c r="I78" s="44" t="s">
        <v>301</v>
      </c>
      <c r="J78" s="36" t="s">
        <v>72</v>
      </c>
      <c r="K78" s="37" t="s">
        <v>73</v>
      </c>
      <c r="L78" s="37" t="s">
        <v>678</v>
      </c>
      <c r="M78" s="39"/>
      <c r="N78" s="39"/>
      <c r="O78" s="46"/>
      <c r="P78" s="10"/>
      <c r="Q78" s="38" t="s">
        <v>679</v>
      </c>
      <c r="R78" s="49"/>
    </row>
    <row r="79" spans="1:18" ht="12.75">
      <c r="A79" s="33" t="s">
        <v>36</v>
      </c>
      <c r="B79" s="33" t="s">
        <v>309</v>
      </c>
      <c r="C79" s="50">
        <v>313</v>
      </c>
      <c r="D79" s="34" t="str">
        <f t="array" ref="D79">INDEX('Synergy import (8232022)'!A$1:L$229,MATCH(C79,'Synergy import (8232022)'!D$1:D$229,0),8)</f>
        <v>Fuller, Dorothea A.</v>
      </c>
      <c r="E79" s="34" t="str">
        <f t="array" ref="E79">INDEX('Synergy import (8232022)'!A$1:L$229,MATCH(C79,'Synergy import (8232022)'!D$1:D$229,0),7)</f>
        <v>Dorothea_Fuller@mcpsmd.org</v>
      </c>
      <c r="F79" s="51" t="s">
        <v>649</v>
      </c>
      <c r="G79" s="44" t="s">
        <v>114</v>
      </c>
      <c r="H79" s="36" t="str">
        <f t="array" aca="1" ref="H79" ca="1">IF(ISBLANK(I79),"",INDEX('SFSS import'!A$1:F$59,MATCH(I79,'SFSS import'!E$1:E$59,0),3))</f>
        <v>Jade Gilchrist</v>
      </c>
      <c r="I79" s="44" t="s">
        <v>115</v>
      </c>
      <c r="J79" s="36" t="s">
        <v>646</v>
      </c>
      <c r="K79" s="37" t="s">
        <v>311</v>
      </c>
      <c r="L79" s="37" t="s">
        <v>312</v>
      </c>
      <c r="M79" s="39"/>
      <c r="N79" s="39"/>
      <c r="O79" s="57"/>
      <c r="P79" s="49"/>
      <c r="Q79" s="38"/>
      <c r="R79" s="49"/>
    </row>
    <row r="80" spans="1:18" ht="12.75">
      <c r="A80" s="33" t="s">
        <v>25</v>
      </c>
      <c r="B80" s="33" t="s">
        <v>313</v>
      </c>
      <c r="C80" s="50">
        <v>204</v>
      </c>
      <c r="D80" s="34" t="str">
        <f t="array" ref="D80">INDEX('Synergy import (8232022)'!A$1:L$229,MATCH(C80,'Synergy import (8232022)'!D$1:D$229,0),8)</f>
        <v>Tucci, Daniel K.</v>
      </c>
      <c r="E80" s="34" t="str">
        <f t="array" ref="E80">INDEX('Synergy import (8232022)'!A$1:L$229,MATCH(C80,'Synergy import (8232022)'!D$1:D$229,0),7)</f>
        <v>Daniel_K_Tucci@mcpsmd.org</v>
      </c>
      <c r="F80" s="51" t="s">
        <v>266</v>
      </c>
      <c r="G80" s="52"/>
      <c r="H80" s="36" t="str">
        <f t="array" ref="H80">IF(ISBLANK(I80),"",INDEX('SFSS import'!A$1:F$59,MATCH(I80,'SFSS import'!E$1:E$59,0),3))</f>
        <v/>
      </c>
      <c r="I80" s="52"/>
      <c r="J80" s="36" t="s">
        <v>314</v>
      </c>
      <c r="K80" s="37" t="s">
        <v>315</v>
      </c>
      <c r="L80" s="55"/>
      <c r="M80" s="39"/>
      <c r="N80" s="39"/>
      <c r="O80" s="46"/>
      <c r="P80" s="10"/>
      <c r="Q80" s="39"/>
      <c r="R80" s="49"/>
    </row>
    <row r="81" spans="1:18" ht="12.75">
      <c r="A81" s="33" t="s">
        <v>10</v>
      </c>
      <c r="B81" s="33" t="s">
        <v>316</v>
      </c>
      <c r="C81" s="50">
        <v>786</v>
      </c>
      <c r="D81" s="34" t="str">
        <f t="array" ref="D81">INDEX('Synergy import (8232022)'!A$1:L$229,MATCH(C81,'Synergy import (8232022)'!D$1:D$229,0),8)</f>
        <v>Ennis, Mary Jane Q.</v>
      </c>
      <c r="E81" s="34" t="str">
        <f t="array" ref="E81">INDEX('Synergy import (8232022)'!A$1:L$229,MATCH(C81,'Synergy import (8232022)'!D$1:D$229,0),7)</f>
        <v>MaryJane_Q_Ennis@mcpsmd.org</v>
      </c>
      <c r="F81" s="75" t="s">
        <v>221</v>
      </c>
      <c r="G81" s="44" t="s">
        <v>317</v>
      </c>
      <c r="H81" s="36" t="str">
        <f t="array" aca="1" ref="H81" ca="1">IF(ISBLANK(I81),"",INDEX('SFSS import'!A$1:F$59,MATCH(I81,'SFSS import'!E$1:E$59,0),3))</f>
        <v>Annie Tsai</v>
      </c>
      <c r="I81" s="44" t="s">
        <v>318</v>
      </c>
      <c r="J81" s="36" t="s">
        <v>127</v>
      </c>
      <c r="K81" s="37" t="s">
        <v>128</v>
      </c>
      <c r="L81" s="37" t="s">
        <v>319</v>
      </c>
      <c r="M81" s="39"/>
      <c r="N81" s="39"/>
      <c r="O81" s="46"/>
      <c r="P81" s="10"/>
      <c r="Q81" s="39"/>
      <c r="R81" s="49"/>
    </row>
    <row r="82" spans="1:18" ht="12.75">
      <c r="A82" s="33" t="s">
        <v>195</v>
      </c>
      <c r="B82" s="33" t="s">
        <v>320</v>
      </c>
      <c r="C82" s="34">
        <v>102</v>
      </c>
      <c r="D82" s="34" t="str">
        <f t="array" ref="D82">INDEX('Synergy import (8232022)'!A$1:L$229,MATCH(C82,'Synergy import (8232022)'!D$1:D$229,0),8)</f>
        <v>Bryan, Amy D.</v>
      </c>
      <c r="E82" s="34" t="str">
        <f t="array" ref="E82">INDEX('Synergy import (8232022)'!A$1:L$229,MATCH(C82,'Synergy import (8232022)'!D$1:D$229,0),7)</f>
        <v>Amy_D_Bryan@mcpsmd.org</v>
      </c>
      <c r="F82" s="60" t="s">
        <v>141</v>
      </c>
      <c r="G82" s="44" t="s">
        <v>272</v>
      </c>
      <c r="H82" s="36" t="str">
        <f t="array" aca="1" ref="H82" ca="1">IF(ISBLANK(I82),"",INDEX('SFSS import'!A$1:F$59,MATCH(I82,'SFSS import'!E$1:E$59,0),3))</f>
        <v>Giovanna Raffo</v>
      </c>
      <c r="I82" s="44" t="s">
        <v>273</v>
      </c>
      <c r="J82" s="36" t="s">
        <v>200</v>
      </c>
      <c r="K82" s="37" t="s">
        <v>201</v>
      </c>
      <c r="L82" s="55"/>
      <c r="M82" s="39"/>
      <c r="N82" s="39"/>
      <c r="O82" s="46"/>
      <c r="P82" s="10"/>
      <c r="Q82" s="39"/>
      <c r="R82" s="49"/>
    </row>
    <row r="83" spans="1:18" ht="12.75">
      <c r="A83" s="33" t="s">
        <v>148</v>
      </c>
      <c r="B83" s="33" t="s">
        <v>323</v>
      </c>
      <c r="C83" s="50">
        <v>337</v>
      </c>
      <c r="D83" s="34" t="str">
        <f t="array" ref="D83">INDEX('Synergy import (8232022)'!A$1:L$229,MATCH(C83,'Synergy import (8232022)'!D$1:D$229,0),8)</f>
        <v>Bosnic, Kimberly B.</v>
      </c>
      <c r="E83" s="34" t="str">
        <f t="array" ref="E83">INDEX('Synergy import (8232022)'!A$1:L$229,MATCH(C83,'Synergy import (8232022)'!D$1:D$229,0),7)</f>
        <v>Kimberly_B_Bosnic@mcpsmd.org</v>
      </c>
      <c r="F83" s="56" t="s">
        <v>141</v>
      </c>
      <c r="G83" s="44" t="s">
        <v>324</v>
      </c>
      <c r="H83" s="36" t="str">
        <f t="array" aca="1" ref="H83" ca="1">IF(ISBLANK(I83),"",INDEX('SFSS import'!A$1:F$59,MATCH(I83,'SFSS import'!E$1:E$59,0),3))</f>
        <v>Shana Bailey</v>
      </c>
      <c r="I83" s="44" t="s">
        <v>184</v>
      </c>
      <c r="J83" s="36" t="s">
        <v>251</v>
      </c>
      <c r="K83" s="37" t="s">
        <v>651</v>
      </c>
      <c r="L83" s="55"/>
      <c r="M83" s="39"/>
      <c r="N83" s="39"/>
      <c r="O83" s="57"/>
      <c r="P83" s="49"/>
      <c r="Q83" s="38"/>
      <c r="R83" s="49"/>
    </row>
    <row r="84" spans="1:18" ht="12.75">
      <c r="A84" s="33" t="s">
        <v>247</v>
      </c>
      <c r="B84" s="33" t="s">
        <v>325</v>
      </c>
      <c r="C84" s="50">
        <v>767</v>
      </c>
      <c r="D84" s="34" t="str">
        <f t="array" ref="D84">INDEX('Synergy import (8232022)'!A$1:L$229,MATCH(C84,'Synergy import (8232022)'!D$1:D$229,0),8)</f>
        <v>Strain, Tara M.</v>
      </c>
      <c r="E84" s="34" t="str">
        <f t="array" ref="E84">INDEX('Synergy import (8232022)'!A$1:L$229,MATCH(C84,'Synergy import (8232022)'!D$1:D$229,0),7)</f>
        <v>Tara_M_Strain@mcpsmd.org</v>
      </c>
      <c r="F84" s="56" t="s">
        <v>680</v>
      </c>
      <c r="G84" s="44" t="s">
        <v>317</v>
      </c>
      <c r="H84" s="36" t="str">
        <f t="array" aca="1" ref="H84" ca="1">IF(ISBLANK(I84),"",INDEX('SFSS import'!A$1:F$59,MATCH(I84,'SFSS import'!E$1:E$59,0),3))</f>
        <v>Annie Tsai</v>
      </c>
      <c r="I84" s="44" t="s">
        <v>318</v>
      </c>
      <c r="J84" s="36" t="s">
        <v>21</v>
      </c>
      <c r="K84" s="37" t="s">
        <v>22</v>
      </c>
      <c r="L84" s="55"/>
      <c r="M84" s="39"/>
      <c r="N84" s="39"/>
      <c r="O84" s="46"/>
      <c r="P84" s="10"/>
      <c r="Q84" s="39"/>
      <c r="R84" s="49"/>
    </row>
    <row r="85" spans="1:18" ht="12.75">
      <c r="A85" s="33" t="s">
        <v>10</v>
      </c>
      <c r="B85" s="33" t="s">
        <v>329</v>
      </c>
      <c r="C85" s="50">
        <v>817</v>
      </c>
      <c r="D85" s="34" t="str">
        <f t="array" ref="D85">INDEX('Synergy import (8232022)'!A$1:L$229,MATCH(C85,'Synergy import (8232022)'!D$1:D$229,0),8)</f>
        <v>Hefflin, Ann</v>
      </c>
      <c r="E85" s="34" t="str">
        <f t="array" ref="E85">INDEX('Synergy import (8232022)'!A$1:L$229,MATCH(C85,'Synergy import (8232022)'!D$1:D$229,0),7)</f>
        <v>Ann_Hefflin@mcpsmd.org</v>
      </c>
      <c r="F85" s="51" t="s">
        <v>124</v>
      </c>
      <c r="G85" s="44" t="s">
        <v>330</v>
      </c>
      <c r="H85" s="36" t="str">
        <f t="array" aca="1" ref="H85" ca="1">IF(ISBLANK(I85),"",INDEX('SFSS import'!A$1:F$59,MATCH(I85,'SFSS import'!E$1:E$59,0),3))</f>
        <v>John Alcoba</v>
      </c>
      <c r="I85" s="44" t="s">
        <v>331</v>
      </c>
      <c r="J85" s="36" t="s">
        <v>127</v>
      </c>
      <c r="K85" s="37" t="s">
        <v>128</v>
      </c>
      <c r="L85" s="55"/>
      <c r="M85" s="39"/>
      <c r="N85" s="39"/>
      <c r="O85" s="46"/>
      <c r="P85" s="10"/>
      <c r="Q85" s="39"/>
      <c r="R85" s="49"/>
    </row>
    <row r="86" spans="1:18" ht="12.75">
      <c r="A86" s="33" t="s">
        <v>291</v>
      </c>
      <c r="B86" s="33" t="s">
        <v>332</v>
      </c>
      <c r="C86" s="50">
        <v>546</v>
      </c>
      <c r="D86" s="34" t="str">
        <f t="array" ref="D86">INDEX('Synergy import (8232022)'!A$1:L$229,MATCH(C86,'Synergy import (8232022)'!D$1:D$229,0),8)</f>
        <v>Dinga, Stephanie R.</v>
      </c>
      <c r="E86" s="34" t="str">
        <f t="array" ref="E86">INDEX('Synergy import (8232022)'!A$1:L$229,MATCH(C86,'Synergy import (8232022)'!D$1:D$229,0),7)</f>
        <v>Stephanie_R_Dinga@mcpsmd.org</v>
      </c>
      <c r="F86" s="56" t="s">
        <v>150</v>
      </c>
      <c r="G86" s="44" t="s">
        <v>333</v>
      </c>
      <c r="H86" s="36" t="str">
        <f t="array" aca="1" ref="H86" ca="1">IF(ISBLANK(I86),"",INDEX('SFSS import'!A$1:F$59,MATCH(I86,'SFSS import'!E$1:E$59,0),3))</f>
        <v>Ree-Ree Burke</v>
      </c>
      <c r="I86" s="44" t="s">
        <v>334</v>
      </c>
      <c r="J86" s="36" t="s">
        <v>672</v>
      </c>
      <c r="K86" s="37" t="s">
        <v>673</v>
      </c>
      <c r="L86" s="55"/>
      <c r="M86" s="39"/>
      <c r="N86" s="39"/>
      <c r="O86" s="46"/>
      <c r="P86" s="10"/>
      <c r="Q86" s="39"/>
      <c r="R86" s="49"/>
    </row>
    <row r="87" spans="1:18" ht="12.75">
      <c r="A87" s="33" t="s">
        <v>195</v>
      </c>
      <c r="B87" s="33" t="s">
        <v>335</v>
      </c>
      <c r="C87" s="50">
        <v>340</v>
      </c>
      <c r="D87" s="34" t="str">
        <f t="array" ref="D87">INDEX('Synergy import (8232022)'!A$1:L$229,MATCH(C87,'Synergy import (8232022)'!D$1:D$229,0),8)</f>
        <v>Curry, Scott T.</v>
      </c>
      <c r="E87" s="34" t="str">
        <f t="array" ref="E87">INDEX('Synergy import (8232022)'!A$1:L$229,MATCH(C87,'Synergy import (8232022)'!D$1:D$229,0),7)</f>
        <v>Scott_T_Curry@mcpsmd.org</v>
      </c>
      <c r="F87" s="56" t="s">
        <v>231</v>
      </c>
      <c r="G87" s="44" t="s">
        <v>336</v>
      </c>
      <c r="H87" s="36" t="str">
        <f t="array" aca="1" ref="H87" ca="1">IF(ISBLANK(I87),"",INDEX('SFSS import'!A$1:F$59,MATCH(I87,'SFSS import'!E$1:E$59,0),3))</f>
        <v>Patri Santos</v>
      </c>
      <c r="I87" s="44" t="s">
        <v>337</v>
      </c>
      <c r="J87" s="36" t="s">
        <v>206</v>
      </c>
      <c r="K87" s="37" t="s">
        <v>207</v>
      </c>
      <c r="L87" s="55"/>
      <c r="M87" s="39"/>
      <c r="N87" s="39"/>
      <c r="O87" s="46"/>
      <c r="P87" s="10"/>
      <c r="Q87" s="39"/>
      <c r="R87" s="49"/>
    </row>
    <row r="88" spans="1:18" ht="12.75">
      <c r="A88" s="33" t="s">
        <v>36</v>
      </c>
      <c r="B88" s="33" t="s">
        <v>338</v>
      </c>
      <c r="C88" s="50">
        <v>334</v>
      </c>
      <c r="D88" s="34" t="str">
        <f t="array" ref="D88">INDEX('Synergy import (8232022)'!A$1:L$229,MATCH(C88,'Synergy import (8232022)'!D$1:D$229,0),8)</f>
        <v>Obstgarten, Robert A.</v>
      </c>
      <c r="E88" s="34" t="str">
        <f t="array" ref="E88">INDEX('Synergy import (8232022)'!A$1:L$229,MATCH(C88,'Synergy import (8232022)'!D$1:D$229,0),7)</f>
        <v>Robert_A_Obstgarten@mcpsmd.org</v>
      </c>
      <c r="F88" s="56" t="s">
        <v>268</v>
      </c>
      <c r="G88" s="44" t="s">
        <v>146</v>
      </c>
      <c r="H88" s="36" t="str">
        <f t="array" aca="1" ref="H88" ca="1">IF(ISBLANK(I88),"",INDEX('SFSS import'!A$1:F$59,MATCH(I88,'SFSS import'!E$1:E$59,0),3))</f>
        <v>Getasew Mebrate</v>
      </c>
      <c r="I88" s="44" t="s">
        <v>147</v>
      </c>
      <c r="J88" s="36" t="s">
        <v>269</v>
      </c>
      <c r="K88" s="37" t="s">
        <v>270</v>
      </c>
      <c r="L88" s="55"/>
      <c r="M88" s="39"/>
      <c r="N88" s="39"/>
      <c r="O88" s="46"/>
      <c r="P88" s="10"/>
      <c r="Q88" s="39"/>
      <c r="R88" s="49"/>
    </row>
    <row r="89" spans="1:18" ht="12.75">
      <c r="A89" s="33" t="s">
        <v>69</v>
      </c>
      <c r="B89" s="33" t="s">
        <v>339</v>
      </c>
      <c r="C89" s="50">
        <v>512</v>
      </c>
      <c r="D89" s="34" t="str">
        <f t="array" ref="D89">INDEX('Synergy import (8232022)'!A$1:L$229,MATCH(C89,'Synergy import (8232022)'!D$1:D$229,0),8)</f>
        <v>Seidel, Jennifer A.</v>
      </c>
      <c r="E89" s="34" t="str">
        <f t="array" ref="E89">INDEX('Synergy import (8232022)'!A$1:L$229,MATCH(C89,'Synergy import (8232022)'!D$1:D$229,0),7)</f>
        <v>Jennifer_A_Seidel@mcpsmd.org</v>
      </c>
      <c r="F89" s="56" t="s">
        <v>340</v>
      </c>
      <c r="G89" s="52"/>
      <c r="H89" s="36" t="str">
        <f t="array" ref="H89">IF(ISBLANK(I89),"",INDEX('SFSS import'!A$1:F$59,MATCH(I89,'SFSS import'!E$1:E$59,0),3))</f>
        <v/>
      </c>
      <c r="I89" s="52"/>
      <c r="J89" s="36" t="s">
        <v>341</v>
      </c>
      <c r="K89" s="37" t="s">
        <v>121</v>
      </c>
      <c r="L89" s="55"/>
      <c r="M89" s="39"/>
      <c r="N89" s="39"/>
      <c r="O89" s="57"/>
      <c r="P89" s="49"/>
      <c r="Q89" s="38"/>
      <c r="R89" s="49"/>
    </row>
    <row r="90" spans="1:18" ht="12.75">
      <c r="A90" s="33" t="s">
        <v>122</v>
      </c>
      <c r="B90" s="33" t="s">
        <v>342</v>
      </c>
      <c r="C90" s="50">
        <v>797</v>
      </c>
      <c r="D90" s="34" t="str">
        <f t="array" ref="D90">INDEX('Synergy import (8232022)'!A$1:L$229,MATCH(C90,'Synergy import (8232022)'!D$1:D$229,0),8)</f>
        <v>Rawlison, Carole E.</v>
      </c>
      <c r="E90" s="34" t="str">
        <f t="array" ref="E90">INDEX('Synergy import (8232022)'!A$1:L$229,MATCH(C90,'Synergy import (8232022)'!D$1:D$229,0),7)</f>
        <v>Carole_E_Rawlison@mcpsmd.org</v>
      </c>
      <c r="F90" s="51" t="s">
        <v>62</v>
      </c>
      <c r="G90" s="76" t="s">
        <v>343</v>
      </c>
      <c r="H90" s="36" t="str">
        <f t="array" aca="1" ref="H90" ca="1">IF(ISBLANK(I90),"",INDEX('SFSS import'!A$1:F$59,MATCH(I90,'SFSS import'!E$1:E$59,0),3))</f>
        <v>Ana Nava</v>
      </c>
      <c r="I90" s="76" t="s">
        <v>344</v>
      </c>
      <c r="J90" s="36" t="s">
        <v>345</v>
      </c>
      <c r="K90" s="37" t="s">
        <v>346</v>
      </c>
      <c r="L90" s="37" t="s">
        <v>681</v>
      </c>
      <c r="M90" s="39"/>
      <c r="N90" s="39"/>
      <c r="O90" s="57"/>
      <c r="P90" s="49"/>
      <c r="Q90" s="38"/>
      <c r="R90" s="49"/>
    </row>
    <row r="91" spans="1:18" ht="12.75">
      <c r="A91" s="33" t="s">
        <v>247</v>
      </c>
      <c r="B91" s="33" t="s">
        <v>347</v>
      </c>
      <c r="C91" s="50">
        <v>774</v>
      </c>
      <c r="D91" s="34" t="str">
        <f t="array" ref="D91">INDEX('Synergy import (8232022)'!A$1:L$229,MATCH(C91,'Synergy import (8232022)'!D$1:D$229,0),8)</f>
        <v>Steffan, Scott R.</v>
      </c>
      <c r="E91" s="34" t="str">
        <f t="array" ref="E91">INDEX('Synergy import (8232022)'!A$1:L$229,MATCH(C91,'Synergy import (8232022)'!D$1:D$229,0),7)</f>
        <v>Scott_Steffan@mcpsmd.org</v>
      </c>
      <c r="F91" s="56" t="s">
        <v>680</v>
      </c>
      <c r="G91" s="44" t="s">
        <v>348</v>
      </c>
      <c r="H91" s="36" t="str">
        <f t="array" aca="1" ref="H91" ca="1">IF(ISBLANK(I91),"",INDEX('SFSS import'!A$1:F$59,MATCH(I91,'SFSS import'!E$1:E$59,0),3))</f>
        <v>Marta Ferman</v>
      </c>
      <c r="I91" s="44" t="s">
        <v>349</v>
      </c>
      <c r="J91" s="36" t="s">
        <v>350</v>
      </c>
      <c r="K91" s="37" t="s">
        <v>351</v>
      </c>
      <c r="L91" s="55"/>
      <c r="M91" s="39"/>
      <c r="N91" s="39"/>
      <c r="O91" s="46"/>
      <c r="P91" s="10"/>
      <c r="Q91" s="39"/>
      <c r="R91" s="49"/>
    </row>
    <row r="92" spans="1:18" ht="12.75">
      <c r="A92" s="33" t="s">
        <v>284</v>
      </c>
      <c r="B92" s="33" t="s">
        <v>352</v>
      </c>
      <c r="C92" s="50">
        <v>784</v>
      </c>
      <c r="D92" s="34" t="str">
        <f t="array" ref="D92">INDEX('Synergy import (8232022)'!A$1:L$229,MATCH(C92,'Synergy import (8232022)'!D$1:D$229,0),8)</f>
        <v>Yim, Hanna</v>
      </c>
      <c r="E92" s="34" t="str">
        <f t="array" ref="E92">INDEX('Synergy import (8232022)'!A$1:L$229,MATCH(C92,'Synergy import (8232022)'!D$1:D$229,0),7)</f>
        <v>Hanna_Kim@mcpsmd.org</v>
      </c>
      <c r="F92" s="51" t="s">
        <v>459</v>
      </c>
      <c r="G92" s="44" t="s">
        <v>287</v>
      </c>
      <c r="H92" s="36" t="str">
        <f t="array" aca="1" ref="H92" ca="1">IF(ISBLANK(I92),"",INDEX('SFSS import'!A$1:F$59,MATCH(I92,'SFSS import'!E$1:E$59,0),3))</f>
        <v>Veronica Gonzalez</v>
      </c>
      <c r="I92" s="44" t="s">
        <v>288</v>
      </c>
      <c r="J92" s="36" t="s">
        <v>353</v>
      </c>
      <c r="K92" s="37" t="s">
        <v>354</v>
      </c>
      <c r="L92" s="55"/>
      <c r="M92" s="59"/>
      <c r="N92" s="59"/>
      <c r="O92" s="46"/>
      <c r="P92" s="10"/>
      <c r="Q92" s="39"/>
      <c r="R92" s="49"/>
    </row>
    <row r="93" spans="1:18" ht="12.75">
      <c r="A93" s="33" t="s">
        <v>65</v>
      </c>
      <c r="B93" s="33" t="s">
        <v>355</v>
      </c>
      <c r="C93" s="50">
        <v>228</v>
      </c>
      <c r="D93" s="34" t="str">
        <f t="array" ref="D93">INDEX('Synergy import (8232022)'!A$1:L$229,MATCH(C93,'Synergy import (8232022)'!D$1:D$229,0),8)</f>
        <v>Kim, Yong M.</v>
      </c>
      <c r="E93" s="34" t="str">
        <f t="array" ref="E93">INDEX('Synergy import (8232022)'!A$1:L$229,MATCH(C93,'Synergy import (8232022)'!D$1:D$229,0),7)</f>
        <v>Yong_M_Kim@mcpsmd.org</v>
      </c>
      <c r="F93" s="56" t="s">
        <v>356</v>
      </c>
      <c r="G93" s="52"/>
      <c r="H93" s="36" t="str">
        <f t="array" ref="H93">IF(ISBLANK(I93),"",INDEX('SFSS import'!A$1:F$59,MATCH(I93,'SFSS import'!E$1:E$59,0),3))</f>
        <v/>
      </c>
      <c r="I93" s="52"/>
      <c r="J93" s="36" t="s">
        <v>67</v>
      </c>
      <c r="K93" s="37" t="s">
        <v>68</v>
      </c>
      <c r="L93" s="55"/>
      <c r="M93" s="39"/>
      <c r="N93" s="39"/>
      <c r="O93" s="57"/>
      <c r="P93" s="49"/>
      <c r="Q93" s="38" t="s">
        <v>682</v>
      </c>
      <c r="R93" s="49"/>
    </row>
    <row r="94" spans="1:18" ht="12.75">
      <c r="A94" s="33" t="s">
        <v>139</v>
      </c>
      <c r="B94" s="33" t="s">
        <v>357</v>
      </c>
      <c r="C94" s="34">
        <v>305</v>
      </c>
      <c r="D94" s="34" t="str">
        <f t="array" ref="D94">INDEX('Synergy import (8232022)'!A$1:L$229,MATCH(C94,'Synergy import (8232022)'!D$1:D$229,0),8)</f>
        <v>Velasquez, Rosario</v>
      </c>
      <c r="E94" s="34" t="str">
        <f t="array" ref="E94">INDEX('Synergy import (8232022)'!A$1:L$229,MATCH(C94,'Synergy import (8232022)'!D$1:D$229,0),7)</f>
        <v>Rosario_Velasquez@mcpsmd.org</v>
      </c>
      <c r="F94" s="60" t="s">
        <v>683</v>
      </c>
      <c r="G94" s="44" t="s">
        <v>358</v>
      </c>
      <c r="H94" s="36" t="str">
        <f t="array" aca="1" ref="H94" ca="1">IF(ISBLANK(I94),"",INDEX('SFSS import'!A$1:F$59,MATCH(I94,'SFSS import'!E$1:E$59,0),3))</f>
        <v>Luz Lambert</v>
      </c>
      <c r="I94" s="44" t="s">
        <v>359</v>
      </c>
      <c r="J94" s="36" t="s">
        <v>142</v>
      </c>
      <c r="K94" s="37" t="s">
        <v>143</v>
      </c>
      <c r="L94" s="55"/>
      <c r="M94" s="39"/>
      <c r="N94" s="39"/>
      <c r="O94" s="46"/>
      <c r="P94" s="10"/>
      <c r="Q94" s="39"/>
      <c r="R94" s="49"/>
    </row>
    <row r="95" spans="1:18" ht="25.5">
      <c r="A95" s="33" t="s">
        <v>139</v>
      </c>
      <c r="B95" s="33" t="s">
        <v>360</v>
      </c>
      <c r="C95" s="34">
        <v>304</v>
      </c>
      <c r="D95" s="34" t="str">
        <f t="array" ref="D95">INDEX('Synergy import (8232022)'!A$1:L$229,MATCH(C95,'Synergy import (8232022)'!D$1:D$229,0),8)</f>
        <v>Barber, Harold A.</v>
      </c>
      <c r="E95" s="34" t="str">
        <f t="array" ref="E95">INDEX('Synergy import (8232022)'!A$1:L$229,MATCH(C95,'Synergy import (8232022)'!D$1:D$229,0),7)</f>
        <v>Harold_A_Barber@mcpsmd.org</v>
      </c>
      <c r="F95" s="60" t="s">
        <v>684</v>
      </c>
      <c r="G95" s="44" t="s">
        <v>361</v>
      </c>
      <c r="H95" s="36" t="str">
        <f t="array" aca="1" ref="H95" ca="1">IF(ISBLANK(I95),"",INDEX('SFSS import'!A$1:F$59,MATCH(I95,'SFSS import'!E$1:E$59,0),3))</f>
        <v>Barnabas Nkemleke</v>
      </c>
      <c r="I95" s="44" t="s">
        <v>362</v>
      </c>
      <c r="J95" s="36" t="s">
        <v>363</v>
      </c>
      <c r="K95" s="37" t="s">
        <v>364</v>
      </c>
      <c r="L95" s="37" t="s">
        <v>401</v>
      </c>
      <c r="M95" s="39"/>
      <c r="N95" s="39"/>
      <c r="O95" s="57"/>
      <c r="P95" s="49"/>
      <c r="Q95" s="38"/>
      <c r="R95" s="49"/>
    </row>
    <row r="96" spans="1:18" ht="12.75">
      <c r="A96" s="33" t="s">
        <v>25</v>
      </c>
      <c r="B96" s="33" t="s">
        <v>366</v>
      </c>
      <c r="C96" s="50">
        <v>424</v>
      </c>
      <c r="D96" s="34" t="str">
        <f t="array" ref="D96">INDEX('Synergy import (8232022)'!A$1:L$229,MATCH(C96,'Synergy import (8232022)'!D$1:D$229,0),8)</f>
        <v>Baker, Jennifer A.</v>
      </c>
      <c r="E96" s="34" t="str">
        <f t="array" ref="E96">INDEX('Synergy import (8232022)'!A$1:L$229,MATCH(C96,'Synergy import (8232022)'!D$1:D$229,0),7)</f>
        <v>Jennifer_A_Baker@mcpsmd.org</v>
      </c>
      <c r="F96" s="51" t="s">
        <v>367</v>
      </c>
      <c r="G96" s="52"/>
      <c r="H96" s="36" t="str">
        <f t="array" ref="H96">IF(ISBLANK(I96),"",INDEX('SFSS import'!A$1:F$59,MATCH(I96,'SFSS import'!E$1:E$59,0),3))</f>
        <v/>
      </c>
      <c r="I96" s="52"/>
      <c r="J96" s="53" t="s">
        <v>27</v>
      </c>
      <c r="K96" s="54" t="s">
        <v>28</v>
      </c>
      <c r="L96" s="55"/>
      <c r="M96" s="39"/>
      <c r="N96" s="39"/>
      <c r="O96" s="46"/>
      <c r="P96" s="49" t="s">
        <v>368</v>
      </c>
      <c r="Q96" s="38" t="s">
        <v>685</v>
      </c>
      <c r="R96" s="49"/>
    </row>
    <row r="97" spans="1:18" ht="12.75">
      <c r="A97" s="33" t="s">
        <v>129</v>
      </c>
      <c r="B97" s="33" t="s">
        <v>369</v>
      </c>
      <c r="C97" s="34">
        <v>360</v>
      </c>
      <c r="D97" s="34" t="str">
        <f t="array" ref="D97">INDEX('Synergy import (8232022)'!A$1:L$229,MATCH(C97,'Synergy import (8232022)'!D$1:D$229,0),8)</f>
        <v>Morris, Ron</v>
      </c>
      <c r="E97" s="34" t="str">
        <f t="array" ref="E97">INDEX('Synergy import (8232022)'!A$1:L$229,MATCH(C97,'Synergy import (8232022)'!D$1:D$229,0),7)</f>
        <v>Ron_Morris@mcpsmd.org</v>
      </c>
      <c r="F97" s="60" t="s">
        <v>166</v>
      </c>
      <c r="G97" s="44" t="s">
        <v>370</v>
      </c>
      <c r="H97" s="36" t="str">
        <f t="array" aca="1" ref="H97" ca="1">IF(ISBLANK(I97),"",INDEX('SFSS import'!A$1:F$59,MATCH(I97,'SFSS import'!E$1:E$59,0),3))</f>
        <v>Alicia Newlands</v>
      </c>
      <c r="I97" s="44" t="s">
        <v>371</v>
      </c>
      <c r="J97" s="36" t="s">
        <v>133</v>
      </c>
      <c r="K97" s="37" t="s">
        <v>134</v>
      </c>
      <c r="L97" s="55"/>
      <c r="M97" s="39"/>
      <c r="N97" s="39"/>
      <c r="O97" s="46"/>
      <c r="P97" s="10"/>
      <c r="Q97" s="39"/>
      <c r="R97" s="49"/>
    </row>
    <row r="98" spans="1:18" ht="25.5">
      <c r="A98" s="33" t="s">
        <v>10</v>
      </c>
      <c r="B98" s="33" t="s">
        <v>372</v>
      </c>
      <c r="C98" s="77">
        <v>805</v>
      </c>
      <c r="D98" s="34" t="str">
        <f t="array" ref="D98">INDEX('Synergy import (8232022)'!A$1:L$229,MATCH(C98,'Synergy import (8232022)'!D$1:D$229,0),8)</f>
        <v>James, Bernard X.</v>
      </c>
      <c r="E98" s="34" t="str">
        <f t="array" ref="E98">INDEX('Synergy import (8232022)'!A$1:L$229,MATCH(C98,'Synergy import (8232022)'!D$1:D$229,0),7)</f>
        <v>Bernard_X_James@mcpsmd.org</v>
      </c>
      <c r="F98" s="78" t="s">
        <v>375</v>
      </c>
      <c r="G98" s="44" t="s">
        <v>330</v>
      </c>
      <c r="H98" s="36" t="str">
        <f t="array" aca="1" ref="H98" ca="1">IF(ISBLANK(I98),"",INDEX('SFSS import'!A$1:F$59,MATCH(I98,'SFSS import'!E$1:E$59,0),3))</f>
        <v>John Alcoba</v>
      </c>
      <c r="I98" s="44" t="s">
        <v>331</v>
      </c>
      <c r="J98" s="36" t="s">
        <v>373</v>
      </c>
      <c r="K98" s="37" t="s">
        <v>15</v>
      </c>
      <c r="L98" s="37" t="s">
        <v>135</v>
      </c>
      <c r="M98" s="39"/>
      <c r="N98" s="39"/>
      <c r="O98" s="46"/>
      <c r="P98" s="10"/>
      <c r="Q98" s="39"/>
      <c r="R98" s="49"/>
    </row>
    <row r="99" spans="1:18" ht="25.5">
      <c r="A99" s="33" t="s">
        <v>10</v>
      </c>
      <c r="B99" s="33" t="s">
        <v>374</v>
      </c>
      <c r="C99" s="50">
        <v>815</v>
      </c>
      <c r="D99" s="34" t="str">
        <f t="array" ref="D99">INDEX('Synergy import (8232022)'!A$1:L$229,MATCH(C99,'Synergy import (8232022)'!D$1:D$229,0),8)</f>
        <v>Rubens Jr, Joe L.</v>
      </c>
      <c r="E99" s="34" t="str">
        <f t="array" ref="E99">INDEX('Synergy import (8232022)'!A$1:L$229,MATCH(C99,'Synergy import (8232022)'!D$1:D$229,0),7)</f>
        <v>Joe_L_RubensJr@mcpsmd.org</v>
      </c>
      <c r="F99" s="51" t="s">
        <v>375</v>
      </c>
      <c r="G99" s="44" t="s">
        <v>376</v>
      </c>
      <c r="H99" s="36" t="str">
        <f t="array" aca="1" ref="H99" ca="1">IF(ISBLANK(I99),"",INDEX('SFSS import'!A$1:F$59,MATCH(I99,'SFSS import'!E$1:E$59,0),3))</f>
        <v>Mirna Medrano-Romero</v>
      </c>
      <c r="I99" s="44" t="s">
        <v>377</v>
      </c>
      <c r="J99" s="36" t="s">
        <v>378</v>
      </c>
      <c r="K99" s="37" t="s">
        <v>128</v>
      </c>
      <c r="L99" s="55"/>
      <c r="M99" s="38"/>
      <c r="N99" s="38" t="s">
        <v>379</v>
      </c>
      <c r="O99" s="46"/>
      <c r="P99" s="49" t="s">
        <v>380</v>
      </c>
      <c r="Q99" s="38" t="s">
        <v>686</v>
      </c>
      <c r="R99" s="49"/>
    </row>
    <row r="100" spans="1:18" ht="12.75">
      <c r="A100" s="33" t="s">
        <v>25</v>
      </c>
      <c r="B100" s="33" t="s">
        <v>381</v>
      </c>
      <c r="C100" s="50">
        <v>783</v>
      </c>
      <c r="D100" s="34" t="str">
        <f t="array" ref="D100">INDEX('Synergy import (8232022)'!A$1:L$229,MATCH(C100,'Synergy import (8232022)'!D$1:D$229,0),8)</f>
        <v>Ross, Candace M.</v>
      </c>
      <c r="E100" s="34" t="str">
        <f t="array" ref="E100">INDEX('Synergy import (8232022)'!A$1:L$229,MATCH(C100,'Synergy import (8232022)'!D$1:D$229,0),7)</f>
        <v>Candace_M_Ross@mcpsmd.org</v>
      </c>
      <c r="F100" s="56" t="s">
        <v>638</v>
      </c>
      <c r="G100" s="52"/>
      <c r="H100" s="36" t="str">
        <f t="array" ref="H100">IF(ISBLANK(I100),"",INDEX('SFSS import'!A$1:F$59,MATCH(I100,'SFSS import'!E$1:E$59,0),3))</f>
        <v/>
      </c>
      <c r="I100" s="52"/>
      <c r="J100" s="36" t="s">
        <v>314</v>
      </c>
      <c r="K100" s="37" t="s">
        <v>315</v>
      </c>
      <c r="L100" s="55"/>
      <c r="M100" s="39"/>
      <c r="N100" s="39"/>
      <c r="O100" s="46"/>
      <c r="P100" s="10"/>
      <c r="Q100" s="39"/>
      <c r="R100" s="49"/>
    </row>
    <row r="101" spans="1:18" ht="25.5">
      <c r="A101" s="33" t="s">
        <v>139</v>
      </c>
      <c r="B101" s="33" t="s">
        <v>382</v>
      </c>
      <c r="C101" s="50">
        <v>311</v>
      </c>
      <c r="D101" s="34" t="str">
        <f t="array" ref="D101">INDEX('Synergy import (8232022)'!A$1:L$229,MATCH(C101,'Synergy import (8232022)'!D$1:D$229,0),8)</f>
        <v>Coleman, Norman L.</v>
      </c>
      <c r="E101" s="34" t="str">
        <f t="array" ref="E101">INDEX('Synergy import (8232022)'!A$1:L$229,MATCH(C101,'Synergy import (8232022)'!D$1:D$229,0),7)</f>
        <v>Norman_L_Coleman@mcpsmd.org</v>
      </c>
      <c r="F101" s="51" t="s">
        <v>687</v>
      </c>
      <c r="G101" s="44" t="s">
        <v>234</v>
      </c>
      <c r="H101" s="36" t="str">
        <f t="array" aca="1" ref="H101" ca="1">IF(ISBLANK(I101),"",INDEX('SFSS import'!A$1:F$59,MATCH(I101,'SFSS import'!E$1:E$59,0),3))</f>
        <v>Evelyn Zuniga-Sanchez</v>
      </c>
      <c r="I101" s="44" t="s">
        <v>235</v>
      </c>
      <c r="J101" s="36" t="s">
        <v>222</v>
      </c>
      <c r="K101" s="37" t="s">
        <v>161</v>
      </c>
      <c r="L101" s="37" t="s">
        <v>144</v>
      </c>
      <c r="M101" s="39"/>
      <c r="N101" s="39"/>
      <c r="O101" s="57"/>
      <c r="P101" s="49"/>
      <c r="Q101" s="38" t="s">
        <v>688</v>
      </c>
      <c r="R101" s="49"/>
    </row>
    <row r="102" spans="1:18" ht="12.75">
      <c r="A102" s="33" t="s">
        <v>383</v>
      </c>
      <c r="B102" s="33" t="s">
        <v>384</v>
      </c>
      <c r="C102" s="50">
        <v>107</v>
      </c>
      <c r="D102" s="34" t="str">
        <f t="array" ref="D102">INDEX('Synergy import (8232022)'!A$1:L$229,MATCH(C102,'Synergy import (8232022)'!D$1:D$229,0),8)</f>
        <v>Overton, Brandi K.</v>
      </c>
      <c r="E102" s="34" t="str">
        <f t="array" ref="E102">INDEX('Synergy import (8232022)'!A$1:L$229,MATCH(C102,'Synergy import (8232022)'!D$1:D$229,0),7)</f>
        <v>Brandi_Richardson@mcpsmd.org</v>
      </c>
      <c r="F102" s="56" t="s">
        <v>224</v>
      </c>
      <c r="G102" s="44" t="s">
        <v>385</v>
      </c>
      <c r="H102" s="36" t="str">
        <f t="array" aca="1" ref="H102" ca="1">IF(ISBLANK(I102),"",INDEX('SFSS import'!A$1:F$59,MATCH(I102,'SFSS import'!E$1:E$59,0),3))</f>
        <v>Giuseppina Alving</v>
      </c>
      <c r="I102" s="44" t="s">
        <v>386</v>
      </c>
      <c r="J102" s="36" t="s">
        <v>689</v>
      </c>
      <c r="K102" s="37" t="s">
        <v>690</v>
      </c>
      <c r="L102" s="55"/>
      <c r="M102" s="39"/>
      <c r="N102" s="39"/>
      <c r="O102" s="46"/>
      <c r="P102" s="10"/>
      <c r="Q102" s="38" t="s">
        <v>691</v>
      </c>
      <c r="R102" s="49"/>
    </row>
    <row r="103" spans="1:18" ht="12.75">
      <c r="A103" s="33" t="s">
        <v>195</v>
      </c>
      <c r="B103" s="33" t="s">
        <v>389</v>
      </c>
      <c r="C103" s="50">
        <v>708</v>
      </c>
      <c r="D103" s="34" t="str">
        <f t="array" ref="D103">INDEX('Synergy import (8232022)'!A$1:L$229,MATCH(C103,'Synergy import (8232022)'!D$1:D$229,0),8)</f>
        <v>Harrison, Dyan L.</v>
      </c>
      <c r="E103" s="34" t="str">
        <f t="array" ref="E103">INDEX('Synergy import (8232022)'!A$1:L$229,MATCH(C103,'Synergy import (8232022)'!D$1:D$229,0),7)</f>
        <v>Dyan_L_Harrison@mcpsmd.org</v>
      </c>
      <c r="F103" s="51" t="s">
        <v>390</v>
      </c>
      <c r="G103" s="44" t="s">
        <v>336</v>
      </c>
      <c r="H103" s="36" t="str">
        <f t="array" aca="1" ref="H103" ca="1">IF(ISBLANK(I103),"",INDEX('SFSS import'!A$1:F$59,MATCH(I103,'SFSS import'!E$1:E$59,0),3))</f>
        <v>Patri Santos</v>
      </c>
      <c r="I103" s="44" t="s">
        <v>337</v>
      </c>
      <c r="J103" s="36" t="s">
        <v>689</v>
      </c>
      <c r="K103" s="37" t="s">
        <v>690</v>
      </c>
      <c r="L103" s="55"/>
      <c r="M103" s="39"/>
      <c r="N103" s="39"/>
      <c r="O103" s="57"/>
      <c r="P103" s="49"/>
      <c r="Q103" s="38" t="s">
        <v>692</v>
      </c>
      <c r="R103" s="49"/>
    </row>
    <row r="104" spans="1:18" ht="12.75">
      <c r="A104" s="33" t="s">
        <v>383</v>
      </c>
      <c r="B104" s="33" t="s">
        <v>391</v>
      </c>
      <c r="C104" s="50">
        <v>108</v>
      </c>
      <c r="D104" s="34" t="str">
        <f t="array" ref="D104">INDEX('Synergy import (8232022)'!A$1:L$229,MATCH(C104,'Synergy import (8232022)'!D$1:D$229,0),8)</f>
        <v>Johnson, Teri D.</v>
      </c>
      <c r="E104" s="34" t="str">
        <f t="array" ref="E104">INDEX('Synergy import (8232022)'!A$1:L$229,MATCH(C104,'Synergy import (8232022)'!D$1:D$229,0),7)</f>
        <v>Teri_D_Johnson@mcpsmd.org</v>
      </c>
      <c r="F104" s="51" t="s">
        <v>156</v>
      </c>
      <c r="G104" s="44" t="s">
        <v>385</v>
      </c>
      <c r="H104" s="36" t="str">
        <f t="array" aca="1" ref="H104" ca="1">IF(ISBLANK(I104),"",INDEX('SFSS import'!A$1:F$59,MATCH(I104,'SFSS import'!E$1:E$59,0),3))</f>
        <v>Giuseppina Alving</v>
      </c>
      <c r="I104" s="44" t="s">
        <v>386</v>
      </c>
      <c r="J104" s="36" t="s">
        <v>387</v>
      </c>
      <c r="K104" s="37" t="s">
        <v>388</v>
      </c>
      <c r="L104" s="55"/>
      <c r="M104" s="39"/>
      <c r="N104" s="39"/>
      <c r="O104" s="57"/>
      <c r="P104" s="49"/>
      <c r="Q104" s="38"/>
      <c r="R104" s="49"/>
    </row>
    <row r="105" spans="1:18" ht="12.75">
      <c r="A105" s="33" t="s">
        <v>129</v>
      </c>
      <c r="B105" s="33" t="s">
        <v>392</v>
      </c>
      <c r="C105" s="34">
        <v>522</v>
      </c>
      <c r="D105" s="34" t="str">
        <f t="array" ref="D105">INDEX('Synergy import (8232022)'!A$1:L$229,MATCH(C105,'Synergy import (8232022)'!D$1:D$229,0),8)</f>
        <v>Alvarez, Rose S.</v>
      </c>
      <c r="E105" s="34" t="str">
        <f t="array" ref="E105">INDEX('Synergy import (8232022)'!A$1:L$229,MATCH(C105,'Synergy import (8232022)'!D$1:D$229,0),7)</f>
        <v>Rose_S_Alvarez@mcpsmd.org</v>
      </c>
      <c r="F105" s="60" t="s">
        <v>647</v>
      </c>
      <c r="G105" s="44" t="s">
        <v>393</v>
      </c>
      <c r="H105" s="36" t="str">
        <f t="array" aca="1" ref="H105" ca="1">IF(ISBLANK(I105),"",INDEX('SFSS import'!A$1:F$59,MATCH(I105,'SFSS import'!E$1:E$59,0),3))</f>
        <v>Sandy Corrales</v>
      </c>
      <c r="I105" s="44" t="s">
        <v>132</v>
      </c>
      <c r="J105" s="36" t="s">
        <v>167</v>
      </c>
      <c r="K105" s="37" t="s">
        <v>168</v>
      </c>
      <c r="L105" s="37" t="s">
        <v>394</v>
      </c>
      <c r="M105" s="39"/>
      <c r="N105" s="39"/>
      <c r="O105" s="46"/>
      <c r="P105" s="10"/>
      <c r="Q105" s="38" t="s">
        <v>693</v>
      </c>
      <c r="R105" s="49"/>
    </row>
    <row r="106" spans="1:18" ht="25.5">
      <c r="A106" s="33" t="s">
        <v>211</v>
      </c>
      <c r="B106" s="33" t="s">
        <v>395</v>
      </c>
      <c r="C106" s="34">
        <v>209</v>
      </c>
      <c r="D106" s="34" t="str">
        <f t="array" ref="D106">INDEX('Synergy import (8232022)'!A$1:L$229,MATCH(C106,'Synergy import (8232022)'!D$1:D$229,0),8)</f>
        <v>Kelly, Ebony-Nicole</v>
      </c>
      <c r="E106" s="34" t="str">
        <f t="array" ref="E106">INDEX('Synergy import (8232022)'!A$1:L$229,MATCH(C106,'Synergy import (8232022)'!D$1:D$229,0),7)</f>
        <v>Ebony-Nicole_Kelly@mcpsmd.org</v>
      </c>
      <c r="F106" s="43" t="s">
        <v>138</v>
      </c>
      <c r="G106" s="52"/>
      <c r="H106" s="36" t="str">
        <f t="array" ref="H106">IF(ISBLANK(I106),"",INDEX('SFSS import'!A$1:F$59,MATCH(I106,'SFSS import'!E$1:E$59,0),3))</f>
        <v/>
      </c>
      <c r="I106" s="52"/>
      <c r="J106" s="36" t="s">
        <v>657</v>
      </c>
      <c r="K106" s="37" t="s">
        <v>213</v>
      </c>
      <c r="L106" s="55"/>
      <c r="M106" s="39"/>
      <c r="N106" s="39"/>
      <c r="O106" s="46"/>
      <c r="P106" s="10"/>
      <c r="Q106" s="38"/>
      <c r="R106" s="49"/>
    </row>
    <row r="107" spans="1:18" ht="12.75">
      <c r="A107" s="33" t="s">
        <v>291</v>
      </c>
      <c r="B107" s="33" t="s">
        <v>396</v>
      </c>
      <c r="C107" s="50">
        <v>51</v>
      </c>
      <c r="D107" s="34" t="str">
        <f t="array" ref="D107">INDEX('Synergy import (8232022)'!A$1:L$229,MATCH(C107,'Synergy import (8232022)'!D$1:D$229,0),8)</f>
        <v>Watson, Maria D.</v>
      </c>
      <c r="E107" s="34" t="str">
        <f t="array" ref="E107">INDEX('Synergy import (8232022)'!A$1:L$229,MATCH(C107,'Synergy import (8232022)'!D$1:D$229,0),7)</f>
        <v>Maria_D_Watson@mcpsmd.org</v>
      </c>
      <c r="F107" s="51" t="s">
        <v>117</v>
      </c>
      <c r="G107" s="44" t="s">
        <v>393</v>
      </c>
      <c r="H107" s="36" t="str">
        <f t="array" aca="1" ref="H107" ca="1">IF(ISBLANK(I107),"",INDEX('SFSS import'!A$1:F$59,MATCH(I107,'SFSS import'!E$1:E$59,0),3))</f>
        <v>Sandy Corrales</v>
      </c>
      <c r="I107" s="44" t="s">
        <v>132</v>
      </c>
      <c r="J107" s="36" t="s">
        <v>72</v>
      </c>
      <c r="K107" s="37" t="s">
        <v>73</v>
      </c>
      <c r="L107" s="55"/>
      <c r="M107" s="39"/>
      <c r="N107" s="39"/>
      <c r="O107" s="46"/>
      <c r="P107" s="10"/>
      <c r="Q107" s="39"/>
      <c r="R107" s="49"/>
    </row>
    <row r="108" spans="1:18" ht="12.75">
      <c r="A108" s="33" t="s">
        <v>148</v>
      </c>
      <c r="B108" s="33" t="s">
        <v>397</v>
      </c>
      <c r="C108" s="50">
        <v>336</v>
      </c>
      <c r="D108" s="34" t="str">
        <f t="array" ref="D108">INDEX('Synergy import (8232022)'!A$1:L$229,MATCH(C108,'Synergy import (8232022)'!D$1:D$229,0),8)</f>
        <v>Bernstein, Evan H.</v>
      </c>
      <c r="E108" s="34" t="str">
        <f t="array" ref="E108">INDEX('Synergy import (8232022)'!A$1:L$229,MATCH(C108,'Synergy import (8232022)'!D$1:D$229,0),7)</f>
        <v>Evan_H_Bernstein@mcpsmd.org</v>
      </c>
      <c r="F108" s="51" t="s">
        <v>547</v>
      </c>
      <c r="G108" s="52"/>
      <c r="H108" s="36" t="str">
        <f t="array" ref="H108">IF(ISBLANK(I108),"",INDEX('SFSS import'!A$1:F$59,MATCH(I108,'SFSS import'!E$1:E$59,0),3))</f>
        <v/>
      </c>
      <c r="I108" s="52"/>
      <c r="J108" s="36" t="s">
        <v>398</v>
      </c>
      <c r="K108" s="37" t="s">
        <v>399</v>
      </c>
      <c r="L108" s="55"/>
      <c r="M108" s="39"/>
      <c r="N108" s="39"/>
      <c r="O108" s="46"/>
      <c r="P108" s="10"/>
      <c r="Q108" s="39"/>
      <c r="R108" s="49"/>
    </row>
    <row r="109" spans="1:18" ht="12.75">
      <c r="A109" s="33" t="s">
        <v>122</v>
      </c>
      <c r="B109" s="33" t="s">
        <v>400</v>
      </c>
      <c r="C109" s="50">
        <v>787</v>
      </c>
      <c r="D109" s="34" t="str">
        <f t="array" ref="D109">INDEX('Synergy import (8232022)'!A$1:L$229,MATCH(C109,'Synergy import (8232022)'!D$1:D$229,0),8)</f>
        <v>McLaughlin, Megan M.</v>
      </c>
      <c r="E109" s="34" t="str">
        <f t="array" ref="E109">INDEX('Synergy import (8232022)'!A$1:L$229,MATCH(C109,'Synergy import (8232022)'!D$1:D$229,0),7)</f>
        <v>Megan_M_McLaughlin@mcpsmd.org</v>
      </c>
      <c r="F109" s="51" t="s">
        <v>649</v>
      </c>
      <c r="G109" s="44" t="s">
        <v>209</v>
      </c>
      <c r="H109" s="36" t="str">
        <f t="array" aca="1" ref="H109" ca="1">IF(ISBLANK(I109),"",INDEX('SFSS import'!A$1:F$59,MATCH(I109,'SFSS import'!E$1:E$59,0),3))</f>
        <v>Zoe D'Eugenio Pinel</v>
      </c>
      <c r="I109" s="44" t="s">
        <v>210</v>
      </c>
      <c r="J109" s="36" t="s">
        <v>353</v>
      </c>
      <c r="K109" s="37" t="s">
        <v>354</v>
      </c>
      <c r="L109" s="37" t="s">
        <v>401</v>
      </c>
      <c r="M109" s="39"/>
      <c r="N109" s="39"/>
      <c r="O109" s="57"/>
      <c r="P109" s="49"/>
      <c r="Q109" s="38" t="s">
        <v>694</v>
      </c>
      <c r="R109" s="49"/>
    </row>
    <row r="110" spans="1:18" ht="12.75">
      <c r="A110" s="33" t="s">
        <v>195</v>
      </c>
      <c r="B110" s="33" t="s">
        <v>402</v>
      </c>
      <c r="C110" s="34">
        <v>951</v>
      </c>
      <c r="D110" s="34" t="str">
        <f t="array" ref="D110">INDEX('Synergy import (8232022)'!A$1:L$229,MATCH(C110,'Synergy import (8232022)'!D$1:D$229,0),8)</f>
        <v>Starr, Sarah C.</v>
      </c>
      <c r="E110" s="34" t="str">
        <f t="array" ref="E110">INDEX('Synergy import (8232022)'!A$1:L$229,MATCH(C110,'Synergy import (8232022)'!D$1:D$229,0),7)</f>
        <v>Sarah_C_Starr@mcpsmd.org</v>
      </c>
      <c r="F110" s="43" t="s">
        <v>457</v>
      </c>
      <c r="G110" s="52"/>
      <c r="H110" s="36" t="str">
        <f t="array" ref="H110">IF(ISBLANK(I110),"",INDEX('SFSS import'!A$1:F$59,MATCH(I110,'SFSS import'!E$1:E$59,0),3))</f>
        <v/>
      </c>
      <c r="I110" s="52"/>
      <c r="J110" s="36" t="s">
        <v>200</v>
      </c>
      <c r="K110" s="37" t="s">
        <v>201</v>
      </c>
      <c r="L110" s="55"/>
      <c r="M110" s="39"/>
      <c r="N110" s="39"/>
      <c r="O110" s="46"/>
      <c r="P110" s="10"/>
      <c r="Q110" s="39"/>
      <c r="R110" s="49"/>
    </row>
    <row r="111" spans="1:18" ht="12.75">
      <c r="A111" s="33" t="s">
        <v>25</v>
      </c>
      <c r="B111" s="33" t="s">
        <v>403</v>
      </c>
      <c r="C111" s="50">
        <v>220</v>
      </c>
      <c r="D111" s="34" t="str">
        <f t="array" ref="D111">INDEX('Synergy import (8232022)'!A$1:L$229,MATCH(C111,'Synergy import (8232022)'!D$1:D$229,0),8)</f>
        <v>Turner, Maureen C.</v>
      </c>
      <c r="E111" s="34" t="str">
        <f t="array" ref="E111">INDEX('Synergy import (8232022)'!A$1:L$229,MATCH(C111,'Synergy import (8232022)'!D$1:D$229,0),7)</f>
        <v>Maureen_C_Turner@mcpsmd.org</v>
      </c>
      <c r="F111" s="56" t="s">
        <v>163</v>
      </c>
      <c r="G111" s="52"/>
      <c r="H111" s="36" t="str">
        <f t="array" ref="H111">IF(ISBLANK(I111),"",INDEX('SFSS import'!A$1:F$59,MATCH(I111,'SFSS import'!E$1:E$59,0),3))</f>
        <v/>
      </c>
      <c r="I111" s="52"/>
      <c r="J111" s="53" t="s">
        <v>27</v>
      </c>
      <c r="K111" s="54" t="s">
        <v>28</v>
      </c>
      <c r="L111" s="55"/>
      <c r="M111" s="39"/>
      <c r="N111" s="39"/>
      <c r="O111" s="46"/>
      <c r="P111" s="10"/>
      <c r="Q111" s="39"/>
      <c r="R111" s="49"/>
    </row>
    <row r="112" spans="1:18" ht="25.5">
      <c r="A112" s="33" t="s">
        <v>154</v>
      </c>
      <c r="B112" s="33" t="s">
        <v>404</v>
      </c>
      <c r="C112" s="50">
        <v>510</v>
      </c>
      <c r="D112" s="34" t="str">
        <f t="array" ref="D112">INDEX('Synergy import (8232022)'!A$1:L$229,MATCH(C112,'Synergy import (8232022)'!D$1:D$229,0),8)</f>
        <v>Evans, Leroy C.</v>
      </c>
      <c r="E112" s="34" t="str">
        <f t="array" ref="E112">INDEX('Synergy import (8232022)'!A$1:L$229,MATCH(C112,'Synergy import (8232022)'!D$1:D$229,0),7)</f>
        <v>Leroy_C_Evans@mcpsmd.org</v>
      </c>
      <c r="F112" s="56" t="s">
        <v>405</v>
      </c>
      <c r="G112" s="44" t="s">
        <v>333</v>
      </c>
      <c r="H112" s="36" t="str">
        <f t="array" aca="1" ref="H112" ca="1">IF(ISBLANK(I112),"",INDEX('SFSS import'!A$1:F$59,MATCH(I112,'SFSS import'!E$1:E$59,0),3))</f>
        <v>Ree-Ree Burke</v>
      </c>
      <c r="I112" s="44" t="s">
        <v>334</v>
      </c>
      <c r="J112" s="36" t="s">
        <v>157</v>
      </c>
      <c r="K112" s="37" t="s">
        <v>158</v>
      </c>
      <c r="L112" s="37" t="s">
        <v>294</v>
      </c>
      <c r="M112" s="39"/>
      <c r="N112" s="39"/>
      <c r="O112" s="46"/>
      <c r="P112" s="49" t="s">
        <v>406</v>
      </c>
      <c r="Q112" s="38" t="s">
        <v>695</v>
      </c>
      <c r="R112" s="49"/>
    </row>
    <row r="113" spans="1:18" ht="12.75">
      <c r="A113" s="33" t="s">
        <v>129</v>
      </c>
      <c r="B113" s="33" t="s">
        <v>407</v>
      </c>
      <c r="C113" s="50">
        <v>244</v>
      </c>
      <c r="D113" s="34" t="str">
        <f t="array" ref="D113">INDEX('Synergy import (8232022)'!A$1:L$229,MATCH(C113,'Synergy import (8232022)'!D$1:D$229,0),8)</f>
        <v>Nazzaro, Pamela S.</v>
      </c>
      <c r="E113" s="34" t="str">
        <f t="array" ref="E113">INDEX('Synergy import (8232022)'!A$1:L$229,MATCH(C113,'Synergy import (8232022)'!D$1:D$229,0),7)</f>
        <v>Pamela_S_Nazzaro@mcpsmd.org</v>
      </c>
      <c r="F113" s="51" t="s">
        <v>547</v>
      </c>
      <c r="G113" s="44" t="s">
        <v>370</v>
      </c>
      <c r="H113" s="36" t="str">
        <f t="array" aca="1" ref="H113" ca="1">IF(ISBLANK(I113),"",INDEX('SFSS import'!A$1:F$59,MATCH(I113,'SFSS import'!E$1:E$59,0),3))</f>
        <v>Alicia Newlands</v>
      </c>
      <c r="I113" s="44" t="s">
        <v>371</v>
      </c>
      <c r="J113" s="36" t="s">
        <v>167</v>
      </c>
      <c r="K113" s="37" t="s">
        <v>168</v>
      </c>
      <c r="L113" s="55"/>
      <c r="M113" s="39"/>
      <c r="N113" s="39"/>
      <c r="O113" s="46"/>
      <c r="P113" s="10"/>
      <c r="Q113" s="38"/>
      <c r="R113" s="49"/>
    </row>
    <row r="114" spans="1:18" ht="12.75">
      <c r="A114" s="33" t="s">
        <v>45</v>
      </c>
      <c r="B114" s="33" t="s">
        <v>408</v>
      </c>
      <c r="C114" s="50">
        <v>210</v>
      </c>
      <c r="D114" s="34" t="str">
        <f t="array" ref="D114">INDEX('Synergy import (8232022)'!A$1:L$229,MATCH(C114,'Synergy import (8232022)'!D$1:D$229,0),8)</f>
        <v>Prin, Margaret S.</v>
      </c>
      <c r="E114" s="34" t="str">
        <f t="array" ref="E114">INDEX('Synergy import (8232022)'!A$1:L$229,MATCH(C114,'Synergy import (8232022)'!D$1:D$229,0),7)</f>
        <v>Margaret_S_Prin@mcpsmd.org</v>
      </c>
      <c r="F114" s="56" t="s">
        <v>409</v>
      </c>
      <c r="G114" s="44" t="s">
        <v>410</v>
      </c>
      <c r="H114" s="36" t="str">
        <f t="array" aca="1" ref="H114" ca="1">IF(ISBLANK(I114),"",INDEX('SFSS import'!A$1:F$59,MATCH(I114,'SFSS import'!E$1:E$59,0),3))</f>
        <v>Saida Hentati</v>
      </c>
      <c r="I114" s="44" t="s">
        <v>411</v>
      </c>
      <c r="J114" s="36" t="s">
        <v>50</v>
      </c>
      <c r="K114" s="37" t="s">
        <v>51</v>
      </c>
      <c r="L114" s="55"/>
      <c r="M114" s="39"/>
      <c r="N114" s="39"/>
      <c r="O114" s="57"/>
      <c r="P114" s="49"/>
      <c r="Q114" s="38"/>
      <c r="R114" s="49"/>
    </row>
    <row r="115" spans="1:18" ht="12.75">
      <c r="A115" s="33" t="s">
        <v>195</v>
      </c>
      <c r="B115" s="33" t="s">
        <v>412</v>
      </c>
      <c r="C115" s="34">
        <v>523</v>
      </c>
      <c r="D115" s="34" t="str">
        <f t="array" ref="D115">INDEX('Synergy import (8232022)'!A$1:L$229,MATCH(C115,'Synergy import (8232022)'!D$1:D$229,0),8)</f>
        <v>Sweeney, James A.</v>
      </c>
      <c r="E115" s="34" t="str">
        <f t="array" ref="E115">INDEX('Synergy import (8232022)'!A$1:L$229,MATCH(C115,'Synergy import (8232022)'!D$1:D$229,0),7)</f>
        <v>Jimmy_Sweeney@mcpsmd.org</v>
      </c>
      <c r="F115" s="43" t="s">
        <v>696</v>
      </c>
      <c r="G115" s="52"/>
      <c r="H115" s="36" t="str">
        <f t="array" ref="H115">IF(ISBLANK(I115),"",INDEX('SFSS import'!A$1:F$59,MATCH(I115,'SFSS import'!E$1:E$59,0),3))</f>
        <v/>
      </c>
      <c r="I115" s="52"/>
      <c r="J115" s="36" t="s">
        <v>200</v>
      </c>
      <c r="K115" s="37" t="s">
        <v>201</v>
      </c>
      <c r="L115" s="55"/>
      <c r="M115" s="39"/>
      <c r="N115" s="39"/>
      <c r="O115" s="46"/>
      <c r="P115" s="10"/>
      <c r="Q115" s="39"/>
      <c r="R115" s="49"/>
    </row>
    <row r="116" spans="1:18" ht="12.75">
      <c r="A116" s="33" t="s">
        <v>383</v>
      </c>
      <c r="B116" s="33" t="s">
        <v>413</v>
      </c>
      <c r="C116" s="50">
        <v>110</v>
      </c>
      <c r="D116" s="34" t="str">
        <f t="array" ref="D116">INDEX('Synergy import (8232022)'!A$1:L$229,MATCH(C116,'Synergy import (8232022)'!D$1:D$229,0),8)</f>
        <v>Coates, Wanda P.</v>
      </c>
      <c r="E116" s="34" t="str">
        <f t="array" ref="E116">INDEX('Synergy import (8232022)'!A$1:L$229,MATCH(C116,'Synergy import (8232022)'!D$1:D$229,0),7)</f>
        <v>Wanda_P_Coates@mcpsmd.org</v>
      </c>
      <c r="F116" s="56" t="s">
        <v>224</v>
      </c>
      <c r="G116" s="44" t="s">
        <v>414</v>
      </c>
      <c r="H116" s="36" t="str">
        <f t="array" aca="1" ref="H116" ca="1">IF(ISBLANK(I116),"",INDEX('SFSS import'!A$1:F$59,MATCH(I116,'SFSS import'!E$1:E$59,0),3))</f>
        <v>Giuseppina Alving</v>
      </c>
      <c r="I116" s="44" t="s">
        <v>386</v>
      </c>
      <c r="J116" s="36" t="s">
        <v>387</v>
      </c>
      <c r="K116" s="37" t="s">
        <v>388</v>
      </c>
      <c r="L116" s="55"/>
      <c r="M116" s="39"/>
      <c r="N116" s="39"/>
      <c r="O116" s="57"/>
      <c r="P116" s="49"/>
      <c r="Q116" s="38"/>
      <c r="R116" s="49"/>
    </row>
    <row r="117" spans="1:18" ht="12.75">
      <c r="A117" s="33" t="s">
        <v>195</v>
      </c>
      <c r="B117" s="33" t="s">
        <v>415</v>
      </c>
      <c r="C117" s="50">
        <v>158</v>
      </c>
      <c r="D117" s="34" t="str">
        <f t="array" ref="D117">INDEX('Synergy import (8232022)'!A$1:L$229,MATCH(C117,'Synergy import (8232022)'!D$1:D$229,0),8)</f>
        <v>Moses, Sherilyn R.</v>
      </c>
      <c r="E117" s="34" t="str">
        <f t="array" ref="E117">INDEX('Synergy import (8232022)'!A$1:L$229,MATCH(C117,'Synergy import (8232022)'!D$1:D$229,0),7)</f>
        <v>Sherilyn_R_Moses@mcpsmd.org</v>
      </c>
      <c r="F117" s="51" t="s">
        <v>390</v>
      </c>
      <c r="G117" s="44" t="s">
        <v>272</v>
      </c>
      <c r="H117" s="36" t="str">
        <f t="array" aca="1" ref="H117" ca="1">IF(ISBLANK(I117),"",INDEX('SFSS import'!A$1:F$59,MATCH(I117,'SFSS import'!E$1:E$59,0),3))</f>
        <v>Giovanna Raffo</v>
      </c>
      <c r="I117" s="44" t="s">
        <v>273</v>
      </c>
      <c r="J117" s="36" t="s">
        <v>206</v>
      </c>
      <c r="K117" s="37" t="s">
        <v>207</v>
      </c>
      <c r="L117" s="55"/>
      <c r="M117" s="39"/>
      <c r="N117" s="39"/>
      <c r="O117" s="57"/>
      <c r="P117" s="49"/>
      <c r="Q117" s="38"/>
      <c r="R117" s="49"/>
    </row>
    <row r="118" spans="1:18" ht="12.75">
      <c r="A118" s="33" t="s">
        <v>45</v>
      </c>
      <c r="B118" s="33" t="s">
        <v>416</v>
      </c>
      <c r="C118" s="34">
        <v>212</v>
      </c>
      <c r="D118" s="34" t="str">
        <f t="array" ref="D118">INDEX('Synergy import (8232022)'!A$1:L$229,MATCH(C118,'Synergy import (8232022)'!D$1:D$229,0),8)</f>
        <v>Lloyd, Cabell W.</v>
      </c>
      <c r="E118" s="34" t="str">
        <f t="array" ref="E118">INDEX('Synergy import (8232022)'!A$1:L$229,MATCH(C118,'Synergy import (8232022)'!D$1:D$229,0),7)</f>
        <v>Cabell_W_Lloyd@mcpsmd.org</v>
      </c>
      <c r="F118" s="43" t="s">
        <v>649</v>
      </c>
      <c r="G118" s="44" t="s">
        <v>417</v>
      </c>
      <c r="H118" s="36" t="str">
        <f t="array" aca="1" ref="H118" ca="1">IF(ISBLANK(I118),"",INDEX('SFSS import'!A$1:F$59,MATCH(I118,'SFSS import'!E$1:E$59,0),3))</f>
        <v>Eduardo Garduno Villa</v>
      </c>
      <c r="I118" s="44" t="s">
        <v>418</v>
      </c>
      <c r="J118" s="36" t="s">
        <v>50</v>
      </c>
      <c r="K118" s="37" t="s">
        <v>51</v>
      </c>
      <c r="L118" s="55"/>
      <c r="M118" s="39"/>
      <c r="N118" s="39"/>
      <c r="O118" s="57"/>
      <c r="P118" s="49"/>
      <c r="Q118" s="38"/>
      <c r="R118" s="49"/>
    </row>
    <row r="119" spans="1:18" ht="25.5">
      <c r="A119" s="33" t="s">
        <v>154</v>
      </c>
      <c r="B119" s="33" t="s">
        <v>419</v>
      </c>
      <c r="C119" s="50">
        <v>556</v>
      </c>
      <c r="D119" s="34" t="str">
        <f t="array" ref="D119">INDEX('Synergy import (8232022)'!A$1:L$229,MATCH(C119,'Synergy import (8232022)'!D$1:D$229,0),8)</f>
        <v>Shinn, Robyn A.</v>
      </c>
      <c r="E119" s="34" t="str">
        <f t="array" ref="E119">INDEX('Synergy import (8232022)'!A$1:L$229,MATCH(C119,'Synergy import (8232022)'!D$1:D$229,0),7)</f>
        <v>Robyn_A_Shinn-Miller@mcpsmd.org</v>
      </c>
      <c r="F119" s="56" t="s">
        <v>405</v>
      </c>
      <c r="G119" s="44" t="s">
        <v>675</v>
      </c>
      <c r="H119" s="36" t="str">
        <f t="array" aca="1" ref="H119" ca="1">IF(ISBLANK(I119),"",INDEX('SFSS import'!A$1:F$59,MATCH(I119,'SFSS import'!E$1:E$59,0),3))</f>
        <v>Paty Williams</v>
      </c>
      <c r="I119" s="44" t="s">
        <v>296</v>
      </c>
      <c r="J119" s="36" t="s">
        <v>157</v>
      </c>
      <c r="K119" s="37" t="s">
        <v>158</v>
      </c>
      <c r="L119" s="55"/>
      <c r="M119" s="39"/>
      <c r="N119" s="39"/>
      <c r="O119" s="57"/>
      <c r="P119" s="49"/>
      <c r="Q119" s="38"/>
      <c r="R119" s="49"/>
    </row>
    <row r="120" spans="1:18" ht="12.75">
      <c r="A120" s="33" t="s">
        <v>421</v>
      </c>
      <c r="B120" s="33" t="s">
        <v>422</v>
      </c>
      <c r="C120" s="50">
        <v>652</v>
      </c>
      <c r="D120" s="34" t="str">
        <f t="array" ref="D120">INDEX('Synergy import (8232022)'!A$1:L$229,MATCH(C120,'Synergy import (8232022)'!D$1:D$229,0),8)</f>
        <v>Alban, Kristin A.</v>
      </c>
      <c r="E120" s="34" t="str">
        <f t="array" ref="E120">INDEX('Synergy import (8232022)'!A$1:L$229,MATCH(C120,'Synergy import (8232022)'!D$1:D$229,0),7)</f>
        <v>Kristin_A_Alban@mcpsmd.org</v>
      </c>
      <c r="F120" s="51" t="s">
        <v>423</v>
      </c>
      <c r="G120" s="52"/>
      <c r="H120" s="36" t="str">
        <f t="array" ref="H120">IF(ISBLANK(I120),"",INDEX('SFSS import'!A$1:F$59,MATCH(I120,'SFSS import'!E$1:E$59,0),3))</f>
        <v/>
      </c>
      <c r="I120" s="52"/>
      <c r="J120" s="36" t="s">
        <v>424</v>
      </c>
      <c r="K120" s="37" t="s">
        <v>425</v>
      </c>
      <c r="L120" s="55"/>
      <c r="M120" s="39"/>
      <c r="N120" s="39"/>
      <c r="O120" s="46"/>
      <c r="P120" s="10"/>
      <c r="Q120" s="39"/>
      <c r="R120" s="49"/>
    </row>
    <row r="121" spans="1:18" ht="25.5">
      <c r="A121" s="33" t="s">
        <v>92</v>
      </c>
      <c r="B121" s="33" t="s">
        <v>426</v>
      </c>
      <c r="C121" s="50">
        <v>776</v>
      </c>
      <c r="D121" s="34" t="str">
        <f t="array" ref="D121">INDEX('Synergy import (8232022)'!A$1:L$229,MATCH(C121,'Synergy import (8232022)'!D$1:D$229,0),8)</f>
        <v>Clark-Harrison, Arienne M.</v>
      </c>
      <c r="E121" s="34" t="str">
        <f t="array" ref="E121">INDEX('Synergy import (8232022)'!A$1:L$229,MATCH(C121,'Synergy import (8232022)'!D$1:D$229,0),7)</f>
        <v>Arienne_M_Clark-Harrison@mcpsmd.org</v>
      </c>
      <c r="F121" s="51" t="s">
        <v>661</v>
      </c>
      <c r="G121" s="44" t="s">
        <v>376</v>
      </c>
      <c r="H121" s="36" t="str">
        <f t="array" aca="1" ref="H121" ca="1">IF(ISBLANK(I121),"",INDEX('SFSS import'!A$1:F$59,MATCH(I121,'SFSS import'!E$1:E$59,0),3))</f>
        <v>Mirna Medrano-Romero</v>
      </c>
      <c r="I121" s="44" t="s">
        <v>377</v>
      </c>
      <c r="J121" s="36" t="s">
        <v>327</v>
      </c>
      <c r="K121" s="37" t="s">
        <v>328</v>
      </c>
      <c r="L121" s="55"/>
      <c r="M121" s="39"/>
      <c r="N121" s="39"/>
      <c r="O121" s="46"/>
      <c r="P121" s="10"/>
      <c r="Q121" s="39"/>
      <c r="R121" s="49"/>
    </row>
    <row r="122" spans="1:18" ht="12.75">
      <c r="A122" s="33" t="s">
        <v>429</v>
      </c>
      <c r="B122" s="33" t="s">
        <v>430</v>
      </c>
      <c r="C122" s="50">
        <v>557</v>
      </c>
      <c r="D122" s="34" t="str">
        <f t="array" ref="D122">INDEX('Synergy import (8232022)'!A$1:L$229,MATCH(C122,'Synergy import (8232022)'!D$1:D$229,0),8)</f>
        <v>Liburd, Vincent R.</v>
      </c>
      <c r="E122" s="34" t="str">
        <f t="array" ref="E122">INDEX('Synergy import (8232022)'!A$1:L$229,MATCH(C122,'Synergy import (8232022)'!D$1:D$229,0),7)</f>
        <v>Vincent_R_Liburd@mcpsmd.org</v>
      </c>
      <c r="F122" s="56" t="s">
        <v>215</v>
      </c>
      <c r="G122" s="44" t="s">
        <v>431</v>
      </c>
      <c r="H122" s="36" t="str">
        <f t="array" aca="1" ref="H122" ca="1">IF(ISBLANK(I122),"",INDEX('SFSS import'!A$1:F$59,MATCH(I122,'SFSS import'!E$1:E$59,0),3))</f>
        <v>Dary Herrera-Jurado</v>
      </c>
      <c r="I122" s="44" t="s">
        <v>432</v>
      </c>
      <c r="J122" s="36" t="s">
        <v>433</v>
      </c>
      <c r="K122" s="37" t="s">
        <v>434</v>
      </c>
      <c r="L122" s="37" t="s">
        <v>678</v>
      </c>
      <c r="M122" s="59"/>
      <c r="N122" s="59"/>
      <c r="O122" s="57"/>
      <c r="P122" s="49"/>
      <c r="Q122" s="38" t="s">
        <v>697</v>
      </c>
      <c r="R122" s="49"/>
    </row>
    <row r="123" spans="1:18" ht="12.75">
      <c r="A123" s="33" t="s">
        <v>52</v>
      </c>
      <c r="B123" s="33" t="s">
        <v>436</v>
      </c>
      <c r="C123" s="34">
        <v>201</v>
      </c>
      <c r="D123" s="34" t="str">
        <f t="array" ref="D123">INDEX('Synergy import (8232022)'!A$1:L$229,MATCH(C123,'Synergy import (8232022)'!D$1:D$229,0),8)</f>
        <v>Deeny, Alicia M.</v>
      </c>
      <c r="E123" s="34" t="str">
        <f t="array" ref="E123">INDEX('Synergy import (8232022)'!A$1:L$229,MATCH(C123,'Synergy import (8232022)'!D$1:D$229,0),7)</f>
        <v>Alicia_M_Deeny@mcpsmd.org</v>
      </c>
      <c r="F123" s="60" t="s">
        <v>437</v>
      </c>
      <c r="G123" s="44" t="s">
        <v>438</v>
      </c>
      <c r="H123" s="36" t="str">
        <f t="array" aca="1" ref="H123" ca="1">IF(ISBLANK(I123),"",INDEX('SFSS import'!A$1:F$59,MATCH(I123,'SFSS import'!E$1:E$59,0),3))</f>
        <v>Gonzalo Quiroga</v>
      </c>
      <c r="I123" s="44" t="s">
        <v>439</v>
      </c>
      <c r="J123" s="36" t="s">
        <v>59</v>
      </c>
      <c r="K123" s="37" t="s">
        <v>60</v>
      </c>
      <c r="L123" s="55"/>
      <c r="M123" s="59"/>
      <c r="N123" s="59"/>
      <c r="O123" s="46"/>
      <c r="P123" s="49" t="s">
        <v>440</v>
      </c>
      <c r="Q123" s="38" t="s">
        <v>698</v>
      </c>
      <c r="R123" s="49"/>
    </row>
    <row r="124" spans="1:18" ht="12.75">
      <c r="A124" s="33" t="s">
        <v>148</v>
      </c>
      <c r="B124" s="33" t="s">
        <v>441</v>
      </c>
      <c r="C124" s="34">
        <v>115</v>
      </c>
      <c r="D124" s="34" t="str">
        <f t="array" ref="D124">INDEX('Synergy import (8232022)'!A$1:L$229,MATCH(C124,'Synergy import (8232022)'!D$1:D$229,0),8)</f>
        <v>Escobar, Barbara M.</v>
      </c>
      <c r="E124" s="34" t="str">
        <f t="array" ref="E124">INDEX('Synergy import (8232022)'!A$1:L$229,MATCH(C124,'Synergy import (8232022)'!D$1:D$229,0),7)</f>
        <v>Barbara_M_Escobar@mcpsmd.org</v>
      </c>
      <c r="F124" s="60" t="s">
        <v>442</v>
      </c>
      <c r="G124" s="44" t="s">
        <v>443</v>
      </c>
      <c r="H124" s="36" t="str">
        <f t="array" aca="1" ref="H124" ca="1">IF(ISBLANK(I124),"",INDEX('SFSS import'!A$1:F$59,MATCH(I124,'SFSS import'!E$1:E$59,0),3))</f>
        <v>Nivardo Candanedo</v>
      </c>
      <c r="I124" s="44" t="s">
        <v>126</v>
      </c>
      <c r="J124" s="36" t="s">
        <v>151</v>
      </c>
      <c r="K124" s="37" t="s">
        <v>152</v>
      </c>
      <c r="L124" s="37" t="s">
        <v>444</v>
      </c>
      <c r="M124" s="39"/>
      <c r="N124" s="39"/>
      <c r="O124" s="46"/>
      <c r="P124" s="10"/>
      <c r="Q124" s="38" t="s">
        <v>699</v>
      </c>
      <c r="R124" s="49"/>
    </row>
    <row r="125" spans="1:18" ht="12.75">
      <c r="A125" s="33" t="s">
        <v>92</v>
      </c>
      <c r="B125" s="33" t="s">
        <v>445</v>
      </c>
      <c r="C125" s="50">
        <v>791</v>
      </c>
      <c r="D125" s="34" t="str">
        <f t="array" ref="D125">INDEX('Synergy import (8232022)'!A$1:L$229,MATCH(C125,'Synergy import (8232022)'!D$1:D$229,0),8)</f>
        <v>Geiger, Robert S.</v>
      </c>
      <c r="E125" s="34" t="str">
        <f t="array" ref="E125">INDEX('Synergy import (8232022)'!A$1:L$229,MATCH(C125,'Synergy import (8232022)'!D$1:D$229,0),7)</f>
        <v>Robert_S_Geiger@mcpsmd.org</v>
      </c>
      <c r="F125" s="56" t="s">
        <v>446</v>
      </c>
      <c r="G125" s="79" t="s">
        <v>447</v>
      </c>
      <c r="H125" s="36" t="str">
        <f t="array" aca="1" ref="H125" ca="1">IF(ISBLANK(I125),"",INDEX('SFSS import'!A$1:F$59,MATCH(I125,'SFSS import'!E$1:E$59,0),3))</f>
        <v>Melissa Laureano</v>
      </c>
      <c r="I125" s="79" t="s">
        <v>448</v>
      </c>
      <c r="J125" s="36" t="s">
        <v>244</v>
      </c>
      <c r="K125" s="37" t="s">
        <v>245</v>
      </c>
      <c r="L125" s="37" t="s">
        <v>312</v>
      </c>
      <c r="M125" s="39"/>
      <c r="N125" s="39"/>
      <c r="O125" s="57"/>
      <c r="P125" s="49"/>
      <c r="Q125" s="38"/>
      <c r="R125" s="49"/>
    </row>
    <row r="126" spans="1:18" ht="12.75">
      <c r="A126" s="33" t="s">
        <v>247</v>
      </c>
      <c r="B126" s="33" t="s">
        <v>449</v>
      </c>
      <c r="C126" s="50">
        <v>792</v>
      </c>
      <c r="D126" s="34" t="str">
        <f t="array" ref="D126">INDEX('Synergy import (8232022)'!A$1:L$229,MATCH(C126,'Synergy import (8232022)'!D$1:D$229,0),8)</f>
        <v>Butler, Kiera D.</v>
      </c>
      <c r="E126" s="34" t="str">
        <f t="array" ref="E126">INDEX('Synergy import (8232022)'!A$1:L$229,MATCH(C126,'Synergy import (8232022)'!D$1:D$229,0),7)</f>
        <v>Kiera_D_Butler@mcpsmd.org</v>
      </c>
      <c r="F126" s="51" t="s">
        <v>286</v>
      </c>
      <c r="G126" s="44" t="s">
        <v>451</v>
      </c>
      <c r="H126" s="36" t="str">
        <f t="array" aca="1" ref="H126" ca="1">IF(ISBLANK(I126),"",INDEX('SFSS import'!A$1:F$59,MATCH(I126,'SFSS import'!E$1:E$59,0),3))</f>
        <v>Maria Romero</v>
      </c>
      <c r="I126" s="44" t="s">
        <v>452</v>
      </c>
      <c r="J126" s="36" t="s">
        <v>327</v>
      </c>
      <c r="K126" s="37" t="s">
        <v>328</v>
      </c>
      <c r="L126" s="37" t="s">
        <v>23</v>
      </c>
      <c r="M126" s="39"/>
      <c r="N126" s="39"/>
      <c r="O126" s="46"/>
      <c r="P126" s="10"/>
      <c r="Q126" s="38" t="s">
        <v>700</v>
      </c>
      <c r="R126" s="49"/>
    </row>
    <row r="127" spans="1:18" ht="12.75">
      <c r="A127" s="33" t="s">
        <v>25</v>
      </c>
      <c r="B127" s="33" t="s">
        <v>453</v>
      </c>
      <c r="C127" s="50">
        <v>413</v>
      </c>
      <c r="D127" s="34" t="str">
        <f t="array" ref="D127">INDEX('Synergy import (8232022)'!A$1:L$229,MATCH(C127,'Synergy import (8232022)'!D$1:D$229,0),8)</f>
        <v>Smith, AnneMarie K.</v>
      </c>
      <c r="E127" s="34" t="str">
        <f t="array" ref="E127">INDEX('Synergy import (8232022)'!A$1:L$229,MATCH(C127,'Synergy import (8232022)'!D$1:D$229,0),7)</f>
        <v>Annemarie_E_Smith@mcpsmd.org</v>
      </c>
      <c r="F127" s="56" t="s">
        <v>638</v>
      </c>
      <c r="G127" s="52"/>
      <c r="H127" s="36" t="str">
        <f t="array" ref="H127">IF(ISBLANK(I127),"",INDEX('SFSS import'!A$1:F$59,MATCH(I127,'SFSS import'!E$1:E$59,0),3))</f>
        <v/>
      </c>
      <c r="I127" s="52"/>
      <c r="J127" s="36" t="s">
        <v>314</v>
      </c>
      <c r="K127" s="37" t="s">
        <v>315</v>
      </c>
      <c r="L127" s="55"/>
      <c r="M127" s="39"/>
      <c r="N127" s="39"/>
      <c r="O127" s="46"/>
      <c r="P127" s="10"/>
      <c r="Q127" s="38" t="s">
        <v>701</v>
      </c>
      <c r="R127" s="49"/>
    </row>
    <row r="128" spans="1:18" ht="12.75">
      <c r="A128" s="33" t="s">
        <v>74</v>
      </c>
      <c r="B128" s="33" t="s">
        <v>454</v>
      </c>
      <c r="C128" s="50">
        <v>415</v>
      </c>
      <c r="D128" s="34" t="str">
        <f t="array" ref="D128">INDEX('Synergy import (8232022)'!A$1:L$229,MATCH(C128,'Synergy import (8232022)'!D$1:D$229,0),8)</f>
        <v>Wallace-Kimbrue, Renee D.</v>
      </c>
      <c r="E128" s="34" t="str">
        <f t="array" ref="E128">INDEX('Synergy import (8232022)'!A$1:L$229,MATCH(C128,'Synergy import (8232022)'!D$1:D$229,0),7)</f>
        <v>Renee_D_Wallace-Kimbrue@mcpsmd.org</v>
      </c>
      <c r="F128" s="56" t="s">
        <v>455</v>
      </c>
      <c r="G128" s="44" t="s">
        <v>48</v>
      </c>
      <c r="H128" s="36" t="str">
        <f t="array" aca="1" ref="H128" ca="1">IF(ISBLANK(I128),"",INDEX('SFSS import'!A$1:F$59,MATCH(I128,'SFSS import'!E$1:E$59,0),3))</f>
        <v>Cindy Rowry Sadur</v>
      </c>
      <c r="I128" s="44" t="s">
        <v>49</v>
      </c>
      <c r="J128" s="36" t="s">
        <v>640</v>
      </c>
      <c r="K128" s="37" t="s">
        <v>641</v>
      </c>
      <c r="L128" s="55"/>
      <c r="M128" s="39"/>
      <c r="N128" s="39"/>
      <c r="O128" s="46"/>
      <c r="P128" s="10"/>
      <c r="Q128" s="39"/>
      <c r="R128" s="49"/>
    </row>
    <row r="129" spans="1:18" ht="12.75">
      <c r="A129" s="33" t="s">
        <v>195</v>
      </c>
      <c r="B129" s="33" t="s">
        <v>456</v>
      </c>
      <c r="C129" s="50">
        <v>246</v>
      </c>
      <c r="D129" s="34" t="str">
        <f t="array" ref="D129">INDEX('Synergy import (8232022)'!A$1:L$229,MATCH(C129,'Synergy import (8232022)'!D$1:D$229,0),8)</f>
        <v>Smith, Scott E.</v>
      </c>
      <c r="E129" s="34" t="str">
        <f t="array" ref="E129">INDEX('Synergy import (8232022)'!A$1:L$229,MATCH(C129,'Synergy import (8232022)'!D$1:D$229,0),7)</f>
        <v>Scott_E_Smith@mcpsmd.org</v>
      </c>
      <c r="F129" s="51" t="s">
        <v>457</v>
      </c>
      <c r="G129" s="44" t="s">
        <v>336</v>
      </c>
      <c r="H129" s="36" t="str">
        <f t="array" aca="1" ref="H129" ca="1">IF(ISBLANK(I129),"",INDEX('SFSS import'!A$1:F$59,MATCH(I129,'SFSS import'!E$1:E$59,0),3))</f>
        <v>Patri Santos</v>
      </c>
      <c r="I129" s="44" t="s">
        <v>337</v>
      </c>
      <c r="J129" s="36" t="s">
        <v>206</v>
      </c>
      <c r="K129" s="37" t="s">
        <v>207</v>
      </c>
      <c r="L129" s="55"/>
      <c r="M129" s="39"/>
      <c r="N129" s="39"/>
      <c r="O129" s="46"/>
      <c r="P129" s="49" t="s">
        <v>702</v>
      </c>
      <c r="Q129" s="38" t="s">
        <v>703</v>
      </c>
      <c r="R129" s="49"/>
    </row>
    <row r="130" spans="1:18" ht="12.75">
      <c r="A130" s="33" t="s">
        <v>284</v>
      </c>
      <c r="B130" s="33" t="s">
        <v>458</v>
      </c>
      <c r="C130" s="50">
        <v>796</v>
      </c>
      <c r="D130" s="34" t="str">
        <f t="array" ref="D130">INDEX('Synergy import (8232022)'!A$1:L$229,MATCH(C130,'Synergy import (8232022)'!D$1:D$229,0),8)</f>
        <v>Garrick, Jonathan L.</v>
      </c>
      <c r="E130" s="34" t="str">
        <f t="array" ref="E130">INDEX('Synergy import (8232022)'!A$1:L$229,MATCH(C130,'Synergy import (8232022)'!D$1:D$229,0),7)</f>
        <v>Jonathan_L_Garrick@mcpsmd.org</v>
      </c>
      <c r="F130" s="51" t="s">
        <v>459</v>
      </c>
      <c r="G130" s="44" t="s">
        <v>460</v>
      </c>
      <c r="H130" s="36" t="str">
        <f t="array" aca="1" ref="H130" ca="1">IF(ISBLANK(I130),"",INDEX('SFSS import'!A$1:F$59,MATCH(I130,'SFSS import'!E$1:E$59,0),3))</f>
        <v>Anabela Almeida</v>
      </c>
      <c r="I130" s="44" t="s">
        <v>461</v>
      </c>
      <c r="J130" s="36" t="s">
        <v>289</v>
      </c>
      <c r="K130" s="37" t="s">
        <v>290</v>
      </c>
      <c r="L130" s="55"/>
      <c r="M130" s="38"/>
      <c r="N130" s="38" t="s">
        <v>462</v>
      </c>
      <c r="O130" s="57"/>
      <c r="P130" s="49" t="s">
        <v>463</v>
      </c>
      <c r="Q130" s="38" t="s">
        <v>704</v>
      </c>
      <c r="R130" s="49"/>
    </row>
    <row r="131" spans="1:18" ht="12.75">
      <c r="A131" s="33" t="s">
        <v>92</v>
      </c>
      <c r="B131" s="33" t="s">
        <v>464</v>
      </c>
      <c r="C131" s="50">
        <v>766</v>
      </c>
      <c r="D131" s="34" t="str">
        <f t="array" ref="D131">INDEX('Synergy import (8232022)'!A$1:L$229,MATCH(C131,'Synergy import (8232022)'!D$1:D$229,0),8)</f>
        <v>Cline, Jeffrey L.</v>
      </c>
      <c r="E131" s="34" t="str">
        <f t="array" ref="E131">INDEX('Synergy import (8232022)'!A$1:L$229,MATCH(C131,'Synergy import (8232022)'!D$1:D$229,0),7)</f>
        <v>Jeffrey_L_Cline@mcpsmd.org</v>
      </c>
      <c r="F131" s="56" t="s">
        <v>446</v>
      </c>
      <c r="G131" s="79" t="s">
        <v>447</v>
      </c>
      <c r="H131" s="36" t="str">
        <f t="array" aca="1" ref="H131" ca="1">IF(ISBLANK(I131),"",INDEX('SFSS import'!A$1:F$59,MATCH(I131,'SFSS import'!E$1:E$59,0),3))</f>
        <v>Melissa Laureano</v>
      </c>
      <c r="I131" s="79" t="s">
        <v>448</v>
      </c>
      <c r="J131" s="36" t="s">
        <v>244</v>
      </c>
      <c r="K131" s="37" t="s">
        <v>245</v>
      </c>
      <c r="L131" s="55"/>
      <c r="M131" s="39"/>
      <c r="N131" s="39"/>
      <c r="O131" s="57"/>
      <c r="P131" s="49"/>
      <c r="Q131" s="38"/>
      <c r="R131" s="49"/>
    </row>
    <row r="132" spans="1:18" ht="12.75">
      <c r="A132" s="33" t="s">
        <v>247</v>
      </c>
      <c r="B132" s="33" t="s">
        <v>465</v>
      </c>
      <c r="C132" s="50">
        <v>769</v>
      </c>
      <c r="D132" s="34" t="str">
        <f t="array" ref="D132">INDEX('Synergy import (8232022)'!A$1:L$229,MATCH(C132,'Synergy import (8232022)'!D$1:D$229,0),8)</f>
        <v>Royall, Elissa M.</v>
      </c>
      <c r="E132" s="34" t="str">
        <f t="array" ref="E132">INDEX('Synergy import (8232022)'!A$1:L$229,MATCH(C132,'Synergy import (8232022)'!D$1:D$229,0),7)</f>
        <v>Elissa_M_Royall@mcpsmd.org</v>
      </c>
      <c r="F132" s="56" t="s">
        <v>680</v>
      </c>
      <c r="G132" s="44" t="s">
        <v>451</v>
      </c>
      <c r="H132" s="36" t="str">
        <f t="array" aca="1" ref="H132" ca="1">IF(ISBLANK(I132),"",INDEX('SFSS import'!A$1:F$59,MATCH(I132,'SFSS import'!E$1:E$59,0),3))</f>
        <v>Maria Romero</v>
      </c>
      <c r="I132" s="44" t="s">
        <v>452</v>
      </c>
      <c r="J132" s="36" t="s">
        <v>111</v>
      </c>
      <c r="K132" s="37" t="s">
        <v>112</v>
      </c>
      <c r="L132" s="55"/>
      <c r="M132" s="39"/>
      <c r="N132" s="39"/>
      <c r="O132" s="46"/>
      <c r="P132" s="10"/>
      <c r="Q132" s="39"/>
      <c r="R132" s="49"/>
    </row>
    <row r="133" spans="1:18" ht="25.5">
      <c r="A133" s="33" t="s">
        <v>10</v>
      </c>
      <c r="B133" s="66" t="s">
        <v>466</v>
      </c>
      <c r="C133" s="34">
        <v>818</v>
      </c>
      <c r="D133" s="34" t="str">
        <f t="array" ref="D133">INDEX('Synergy import (8232022)'!A$1:L$229,MATCH(C133,'Synergy import (8232022)'!D$1:D$229,0),8)</f>
        <v>Hayden Williams, Kimberly N.</v>
      </c>
      <c r="E133" s="34" t="str">
        <f t="array" ref="E133">INDEX('Synergy import (8232022)'!A$1:L$229,MATCH(C133,'Synergy import (8232022)'!D$1:D$229,0),7)</f>
        <v>Kimberly_N_HaydenWilliams@mcpsmd.org</v>
      </c>
      <c r="F133" s="43" t="s">
        <v>705</v>
      </c>
      <c r="G133" s="44" t="s">
        <v>330</v>
      </c>
      <c r="H133" s="36" t="str">
        <f t="array" aca="1" ref="H133" ca="1">IF(ISBLANK(I133),"",INDEX('SFSS import'!A$1:F$59,MATCH(I133,'SFSS import'!E$1:E$59,0),3))</f>
        <v>John Alcoba</v>
      </c>
      <c r="I133" s="44" t="s">
        <v>331</v>
      </c>
      <c r="J133" s="36" t="s">
        <v>373</v>
      </c>
      <c r="K133" s="37" t="s">
        <v>15</v>
      </c>
      <c r="L133" s="37" t="s">
        <v>467</v>
      </c>
      <c r="M133" s="80"/>
      <c r="N133" s="80"/>
      <c r="O133" s="57"/>
      <c r="P133" s="49"/>
      <c r="Q133" s="81" t="s">
        <v>706</v>
      </c>
      <c r="R133" s="49"/>
    </row>
    <row r="134" spans="1:18" ht="12.75">
      <c r="A134" s="33" t="s">
        <v>69</v>
      </c>
      <c r="B134" s="33" t="s">
        <v>468</v>
      </c>
      <c r="C134" s="50">
        <v>502</v>
      </c>
      <c r="D134" s="34" t="str">
        <f t="array" ref="D134">INDEX('Synergy import (8232022)'!A$1:L$229,MATCH(C134,'Synergy import (8232022)'!D$1:D$229,0),8)</f>
        <v>Glawe, Carla</v>
      </c>
      <c r="E134" s="34" t="str">
        <f t="array" ref="E134">INDEX('Synergy import (8232022)'!A$1:L$229,MATCH(C134,'Synergy import (8232022)'!D$1:D$229,0),7)</f>
        <v>Carla_Glawe@mcpsmd.org</v>
      </c>
      <c r="F134" s="51" t="s">
        <v>117</v>
      </c>
      <c r="G134" s="52"/>
      <c r="H134" s="36" t="str">
        <f t="array" ref="H134">IF(ISBLANK(I134),"",INDEX('SFSS import'!A$1:F$59,MATCH(I134,'SFSS import'!E$1:E$59,0),3))</f>
        <v/>
      </c>
      <c r="I134" s="52"/>
      <c r="J134" s="36" t="s">
        <v>120</v>
      </c>
      <c r="K134" s="37" t="s">
        <v>121</v>
      </c>
      <c r="L134" s="55"/>
      <c r="M134" s="39"/>
      <c r="N134" s="39"/>
      <c r="O134" s="57"/>
      <c r="P134" s="49"/>
      <c r="Q134" s="38"/>
      <c r="R134" s="49"/>
    </row>
    <row r="135" spans="1:18" ht="12.75">
      <c r="A135" s="33" t="s">
        <v>36</v>
      </c>
      <c r="B135" s="33" t="s">
        <v>469</v>
      </c>
      <c r="C135" s="50">
        <v>312</v>
      </c>
      <c r="D135" s="34" t="str">
        <f t="array" ref="D135">INDEX('Synergy import (8232022)'!A$1:L$229,MATCH(C135,'Synergy import (8232022)'!D$1:D$229,0),8)</f>
        <v>Brown, Stacey M.</v>
      </c>
      <c r="E135" s="34" t="str">
        <f t="array" ref="E135">INDEX('Synergy import (8232022)'!A$1:L$229,MATCH(C135,'Synergy import (8232022)'!D$1:D$229,0),7)</f>
        <v>Stacey_M_Brown@mcpsmd.org</v>
      </c>
      <c r="F135" s="56" t="s">
        <v>268</v>
      </c>
      <c r="G135" s="44" t="s">
        <v>114</v>
      </c>
      <c r="H135" s="36" t="str">
        <f t="array" aca="1" ref="H135" ca="1">IF(ISBLANK(I135),"",INDEX('SFSS import'!A$1:F$59,MATCH(I135,'SFSS import'!E$1:E$59,0),3))</f>
        <v>Jade Gilchrist</v>
      </c>
      <c r="I135" s="44" t="s">
        <v>115</v>
      </c>
      <c r="J135" s="36" t="s">
        <v>470</v>
      </c>
      <c r="K135" s="37" t="s">
        <v>471</v>
      </c>
      <c r="L135" s="55"/>
      <c r="M135" s="39"/>
      <c r="N135" s="39"/>
      <c r="O135" s="57"/>
      <c r="P135" s="49"/>
      <c r="Q135" s="38"/>
      <c r="R135" s="49"/>
    </row>
    <row r="136" spans="1:18" ht="25.5">
      <c r="A136" s="33" t="s">
        <v>36</v>
      </c>
      <c r="B136" s="33" t="s">
        <v>472</v>
      </c>
      <c r="C136" s="34">
        <v>315</v>
      </c>
      <c r="D136" s="34" t="str">
        <f t="array" ref="D136">INDEX('Synergy import (8232022)'!A$1:L$229,MATCH(C136,'Synergy import (8232022)'!D$1:D$229,0),8)</f>
        <v>Mirshah-nayar, Afie A.</v>
      </c>
      <c r="E136" s="34" t="str">
        <f t="array" ref="E136">INDEX('Synergy import (8232022)'!A$1:L$229,MATCH(C136,'Synergy import (8232022)'!D$1:D$229,0),7)</f>
        <v>Afie_A_Mirshah-nayar@mcpsmd.org</v>
      </c>
      <c r="F136" s="60" t="s">
        <v>256</v>
      </c>
      <c r="G136" s="44" t="s">
        <v>146</v>
      </c>
      <c r="H136" s="36" t="str">
        <f t="array" aca="1" ref="H136" ca="1">IF(ISBLANK(I136),"",INDEX('SFSS import'!A$1:F$59,MATCH(I136,'SFSS import'!E$1:E$59,0),3))</f>
        <v>Getasew Mebrate</v>
      </c>
      <c r="I136" s="44" t="s">
        <v>147</v>
      </c>
      <c r="J136" s="36" t="s">
        <v>470</v>
      </c>
      <c r="K136" s="37" t="s">
        <v>471</v>
      </c>
      <c r="L136" s="37" t="s">
        <v>365</v>
      </c>
      <c r="M136" s="39"/>
      <c r="N136" s="39"/>
      <c r="O136" s="46"/>
      <c r="P136" s="49" t="s">
        <v>552</v>
      </c>
      <c r="Q136" s="38" t="s">
        <v>707</v>
      </c>
      <c r="R136" s="49"/>
    </row>
    <row r="137" spans="1:18" ht="12.75">
      <c r="A137" s="33" t="s">
        <v>122</v>
      </c>
      <c r="B137" s="33" t="s">
        <v>473</v>
      </c>
      <c r="C137" s="50">
        <v>812</v>
      </c>
      <c r="D137" s="34" t="str">
        <f t="array" ref="D137">INDEX('Synergy import (8232022)'!A$1:L$229,MATCH(C137,'Synergy import (8232022)'!D$1:D$229,0),8)</f>
        <v>Shin, Aaron</v>
      </c>
      <c r="E137" s="34" t="str">
        <f t="array" ref="E137">INDEX('Synergy import (8232022)'!A$1:L$229,MATCH(C137,'Synergy import (8232022)'!D$1:D$229,0),7)</f>
        <v>Aaron_K_Shin@mcpsmd.org</v>
      </c>
      <c r="F137" s="56" t="s">
        <v>124</v>
      </c>
      <c r="G137" s="44" t="s">
        <v>343</v>
      </c>
      <c r="H137" s="36" t="str">
        <f t="array" aca="1" ref="H137" ca="1">IF(ISBLANK(I137),"",INDEX('SFSS import'!A$1:F$59,MATCH(I137,'SFSS import'!E$1:E$59,0),3))</f>
        <v>Ana Nava</v>
      </c>
      <c r="I137" s="44" t="s">
        <v>344</v>
      </c>
      <c r="J137" s="36" t="s">
        <v>474</v>
      </c>
      <c r="K137" s="37" t="s">
        <v>283</v>
      </c>
      <c r="L137" s="37" t="s">
        <v>475</v>
      </c>
      <c r="M137" s="39"/>
      <c r="N137" s="39"/>
      <c r="O137" s="46"/>
      <c r="P137" s="10"/>
      <c r="Q137" s="38" t="s">
        <v>708</v>
      </c>
      <c r="R137" s="49"/>
    </row>
    <row r="138" spans="1:18" ht="12.75">
      <c r="A138" s="33" t="s">
        <v>69</v>
      </c>
      <c r="B138" s="33" t="s">
        <v>476</v>
      </c>
      <c r="C138" s="50">
        <v>155</v>
      </c>
      <c r="D138" s="34" t="str">
        <f t="array" ref="D138">INDEX('Synergy import (8232022)'!A$1:L$229,MATCH(C138,'Synergy import (8232022)'!D$1:D$229,0),8)</f>
        <v>Sanders, Jewel A.</v>
      </c>
      <c r="E138" s="34" t="str">
        <f t="array" ref="E138">INDEX('Synergy import (8232022)'!A$1:L$229,MATCH(C138,'Synergy import (8232022)'!D$1:D$229,0),7)</f>
        <v>Jewel_A_Sanders@mcpsmd.org</v>
      </c>
      <c r="F138" s="56" t="s">
        <v>477</v>
      </c>
      <c r="G138" s="52"/>
      <c r="H138" s="36" t="str">
        <f t="array" ref="H138">IF(ISBLANK(I138),"",INDEX('SFSS import'!A$1:F$59,MATCH(I138,'SFSS import'!E$1:E$59,0),3))</f>
        <v/>
      </c>
      <c r="I138" s="52"/>
      <c r="J138" s="36" t="s">
        <v>72</v>
      </c>
      <c r="K138" s="37" t="s">
        <v>73</v>
      </c>
      <c r="L138" s="55"/>
      <c r="M138" s="39"/>
      <c r="N138" s="39"/>
      <c r="O138" s="57"/>
      <c r="P138" s="49"/>
      <c r="Q138" s="38" t="s">
        <v>709</v>
      </c>
      <c r="R138" s="49"/>
    </row>
    <row r="139" spans="1:18" ht="25.5">
      <c r="A139" s="33" t="s">
        <v>92</v>
      </c>
      <c r="B139" s="33" t="s">
        <v>478</v>
      </c>
      <c r="C139" s="50">
        <v>761</v>
      </c>
      <c r="D139" s="34" t="str">
        <f t="array" ref="D139">INDEX('Synergy import (8232022)'!A$1:L$229,MATCH(C139,'Synergy import (8232022)'!D$1:D$229,0),8)</f>
        <v>Denney, Jamila W.</v>
      </c>
      <c r="E139" s="34" t="str">
        <f t="array" ref="E139">INDEX('Synergy import (8232022)'!A$1:L$229,MATCH(C139,'Synergy import (8232022)'!D$1:D$229,0),7)</f>
        <v>Jamila_W_Denney@mcpsmd.org</v>
      </c>
      <c r="F139" s="51" t="s">
        <v>540</v>
      </c>
      <c r="G139" s="44" t="s">
        <v>376</v>
      </c>
      <c r="H139" s="36" t="str">
        <f t="array" aca="1" ref="H139" ca="1">IF(ISBLANK(I139),"",INDEX('SFSS import'!A$1:F$59,MATCH(I139,'SFSS import'!E$1:E$59,0),3))</f>
        <v>Mirna Medrano-Romero</v>
      </c>
      <c r="I139" s="44" t="s">
        <v>377</v>
      </c>
      <c r="J139" s="36" t="s">
        <v>289</v>
      </c>
      <c r="K139" s="37" t="s">
        <v>290</v>
      </c>
      <c r="L139" s="55"/>
      <c r="M139" s="39"/>
      <c r="N139" s="39"/>
      <c r="O139" s="46"/>
      <c r="P139" s="10"/>
      <c r="Q139" s="39"/>
      <c r="R139" s="49"/>
    </row>
    <row r="140" spans="1:18" ht="25.5">
      <c r="A140" s="33" t="s">
        <v>92</v>
      </c>
      <c r="B140" s="33" t="s">
        <v>479</v>
      </c>
      <c r="C140" s="50">
        <v>749</v>
      </c>
      <c r="D140" s="34" t="str">
        <f t="array" ref="D140">INDEX('Synergy import (8232022)'!A$1:L$229,MATCH(C140,'Synergy import (8232022)'!D$1:D$229,0),8)</f>
        <v>Oberdorf, Christine D.</v>
      </c>
      <c r="E140" s="34" t="str">
        <f t="array" ref="E140">INDEX('Synergy import (8232022)'!A$1:L$229,MATCH(C140,'Synergy import (8232022)'!D$1:D$229,0),7)</f>
        <v>Christine_D_Oberdorf@mcpsmd.org</v>
      </c>
      <c r="F140" s="51" t="s">
        <v>480</v>
      </c>
      <c r="G140" s="44" t="s">
        <v>361</v>
      </c>
      <c r="H140" s="36" t="str">
        <f t="array" aca="1" ref="H140" ca="1">IF(ISBLANK(I140),"",INDEX('SFSS import'!A$1:F$59,MATCH(I140,'SFSS import'!E$1:E$59,0),3))</f>
        <v>Barnabas Nkemleke</v>
      </c>
      <c r="I140" s="44" t="s">
        <v>362</v>
      </c>
      <c r="J140" s="36" t="s">
        <v>239</v>
      </c>
      <c r="K140" s="37" t="s">
        <v>240</v>
      </c>
      <c r="L140" s="55"/>
      <c r="M140" s="39"/>
      <c r="N140" s="39"/>
      <c r="O140" s="57"/>
      <c r="P140" s="49"/>
      <c r="Q140" s="38"/>
      <c r="R140" s="49"/>
    </row>
    <row r="141" spans="1:18" ht="12.75">
      <c r="A141" s="33" t="s">
        <v>421</v>
      </c>
      <c r="B141" s="33" t="s">
        <v>481</v>
      </c>
      <c r="C141" s="50">
        <v>247</v>
      </c>
      <c r="D141" s="34" t="str">
        <f t="array" ref="D141">INDEX('Synergy import (8232022)'!A$1:L$229,MATCH(C141,'Synergy import (8232022)'!D$1:D$229,0),8)</f>
        <v>Green, Jon</v>
      </c>
      <c r="E141" s="34" t="str">
        <f t="array" ref="E141">INDEX('Synergy import (8232022)'!A$1:L$229,MATCH(C141,'Synergy import (8232022)'!D$1:D$229,0),7)</f>
        <v>Jon_Green@mcpsmd.org</v>
      </c>
      <c r="F141" s="56" t="s">
        <v>482</v>
      </c>
      <c r="G141" s="52"/>
      <c r="H141" s="36" t="str">
        <f t="array" ref="H141">IF(ISBLANK(I141),"",INDEX('SFSS import'!A$1:F$59,MATCH(I141,'SFSS import'!E$1:E$59,0),3))</f>
        <v/>
      </c>
      <c r="I141" s="52"/>
      <c r="J141" s="36" t="s">
        <v>424</v>
      </c>
      <c r="K141" s="37" t="s">
        <v>425</v>
      </c>
      <c r="L141" s="55"/>
      <c r="M141" s="39"/>
      <c r="N141" s="39"/>
      <c r="O141" s="46"/>
      <c r="P141" s="10"/>
      <c r="Q141" s="38" t="s">
        <v>710</v>
      </c>
      <c r="R141" s="49"/>
    </row>
    <row r="142" spans="1:18" ht="12.75">
      <c r="A142" s="33" t="s">
        <v>421</v>
      </c>
      <c r="B142" s="33" t="s">
        <v>483</v>
      </c>
      <c r="C142" s="50">
        <v>153</v>
      </c>
      <c r="D142" s="34" t="str">
        <f t="array" ref="D142">INDEX('Synergy import (8232022)'!A$1:L$229,MATCH(C142,'Synergy import (8232022)'!D$1:D$229,0),8)</f>
        <v>Robbins, Douglas M.</v>
      </c>
      <c r="E142" s="34" t="str">
        <f t="array" ref="E142">INDEX('Synergy import (8232022)'!A$1:L$229,MATCH(C142,'Synergy import (8232022)'!D$1:D$229,0),7)</f>
        <v>Douglas_M_Robbins@mcpsmd.org</v>
      </c>
      <c r="F142" s="56" t="s">
        <v>482</v>
      </c>
      <c r="G142" s="52"/>
      <c r="H142" s="36" t="str">
        <f t="array" ref="H142">IF(ISBLANK(I142),"",INDEX('SFSS import'!A$1:F$59,MATCH(I142,'SFSS import'!E$1:E$59,0),3))</f>
        <v/>
      </c>
      <c r="I142" s="52"/>
      <c r="J142" s="36" t="s">
        <v>424</v>
      </c>
      <c r="K142" s="37" t="s">
        <v>425</v>
      </c>
      <c r="L142" s="55"/>
      <c r="M142" s="39"/>
      <c r="N142" s="39"/>
      <c r="O142" s="46"/>
      <c r="P142" s="10"/>
      <c r="Q142" s="38"/>
      <c r="R142" s="49"/>
    </row>
    <row r="143" spans="1:18" ht="12.75">
      <c r="A143" s="33" t="s">
        <v>421</v>
      </c>
      <c r="B143" s="33" t="s">
        <v>484</v>
      </c>
      <c r="C143" s="50">
        <v>152</v>
      </c>
      <c r="D143" s="34" t="str">
        <f t="array" ref="D143">INDEX('Synergy import (8232022)'!A$1:L$229,MATCH(C143,'Synergy import (8232022)'!D$1:D$229,0),8)</f>
        <v>Carothers, Mark A.</v>
      </c>
      <c r="E143" s="34" t="str">
        <f t="array" ref="E143">INDEX('Synergy import (8232022)'!A$1:L$229,MATCH(C143,'Synergy import (8232022)'!D$1:D$229,0),7)</f>
        <v>Mark_A_Carothers@mcpsmd.org</v>
      </c>
      <c r="F143" s="56" t="s">
        <v>482</v>
      </c>
      <c r="G143" s="52"/>
      <c r="H143" s="36" t="str">
        <f t="array" ref="H143">IF(ISBLANK(I143),"",INDEX('SFSS import'!A$1:F$59,MATCH(I143,'SFSS import'!E$1:E$59,0),3))</f>
        <v/>
      </c>
      <c r="I143" s="52"/>
      <c r="J143" s="36" t="s">
        <v>424</v>
      </c>
      <c r="K143" s="37" t="s">
        <v>425</v>
      </c>
      <c r="L143" s="55"/>
      <c r="M143" s="39"/>
      <c r="N143" s="39"/>
      <c r="O143" s="46"/>
      <c r="P143" s="49" t="s">
        <v>485</v>
      </c>
      <c r="Q143" s="38" t="s">
        <v>711</v>
      </c>
      <c r="R143" s="49"/>
    </row>
    <row r="144" spans="1:18" ht="12.75">
      <c r="A144" s="33" t="s">
        <v>65</v>
      </c>
      <c r="B144" s="33" t="s">
        <v>486</v>
      </c>
      <c r="C144" s="34">
        <v>601</v>
      </c>
      <c r="D144" s="34" t="str">
        <f t="array" ref="D144">INDEX('Synergy import (8232022)'!A$1:L$229,MATCH(C144,'Synergy import (8232022)'!D$1:D$229,0),8)</f>
        <v>Allie, Catherine R.</v>
      </c>
      <c r="E144" s="34" t="str">
        <f t="array" ref="E144">INDEX('Synergy import (8232022)'!A$1:L$229,MATCH(C144,'Synergy import (8232022)'!D$1:D$229,0),7)</f>
        <v>Catherine_R_Allie@mcpsmd.org</v>
      </c>
      <c r="F144" s="43" t="s">
        <v>179</v>
      </c>
      <c r="G144" s="52"/>
      <c r="H144" s="36" t="str">
        <f t="array" ref="H144">IF(ISBLANK(I144),"",INDEX('SFSS import'!A$1:F$59,MATCH(I144,'SFSS import'!E$1:E$59,0),3))</f>
        <v/>
      </c>
      <c r="I144" s="52"/>
      <c r="J144" s="36" t="s">
        <v>67</v>
      </c>
      <c r="K144" s="37" t="s">
        <v>68</v>
      </c>
      <c r="L144" s="55"/>
      <c r="M144" s="39"/>
      <c r="N144" s="39"/>
      <c r="O144" s="57"/>
      <c r="P144" s="49"/>
      <c r="Q144" s="38"/>
      <c r="R144" s="49"/>
    </row>
    <row r="145" spans="1:18" ht="12.75">
      <c r="A145" s="33" t="s">
        <v>41</v>
      </c>
      <c r="B145" s="33" t="s">
        <v>487</v>
      </c>
      <c r="C145" s="33">
        <v>428</v>
      </c>
      <c r="D145" s="34" t="str">
        <f t="array" ref="D145">INDEX('Synergy import (8232022)'!A$1:L$229,MATCH(C145,'Synergy import (8232022)'!D$1:D$229,0),8)</f>
        <v>Nardi, Christopher B.</v>
      </c>
      <c r="E145" s="34" t="str">
        <f t="array" ref="E145">INDEX('Synergy import (8232022)'!A$1:L$229,MATCH(C145,'Synergy import (8232022)'!D$1:D$229,0),7)</f>
        <v>Christopher_B_Nardi@mcpsmd.org</v>
      </c>
      <c r="F145" s="33" t="s">
        <v>488</v>
      </c>
      <c r="G145" s="52"/>
      <c r="H145" s="36" t="str">
        <f t="array" ref="H145">IF(ISBLANK(I145),"",INDEX('SFSS import'!A$1:F$59,MATCH(I145,'SFSS import'!E$1:E$59,0),3))</f>
        <v/>
      </c>
      <c r="I145" s="52"/>
      <c r="J145" s="36" t="s">
        <v>43</v>
      </c>
      <c r="K145" s="37" t="s">
        <v>44</v>
      </c>
      <c r="L145" s="55"/>
      <c r="M145" s="39"/>
      <c r="N145" s="39"/>
      <c r="O145" s="46"/>
      <c r="P145" s="10"/>
      <c r="Q145" s="38" t="s">
        <v>712</v>
      </c>
      <c r="R145" s="49"/>
    </row>
    <row r="146" spans="1:18" ht="12.75">
      <c r="A146" s="33" t="s">
        <v>129</v>
      </c>
      <c r="B146" s="33" t="s">
        <v>489</v>
      </c>
      <c r="C146" s="50">
        <v>125</v>
      </c>
      <c r="D146" s="34" t="str">
        <f t="array" ref="D146">INDEX('Synergy import (8232022)'!A$1:L$229,MATCH(C146,'Synergy import (8232022)'!D$1:D$229,0),8)</f>
        <v>Thomas, Elizabeth L.</v>
      </c>
      <c r="E146" s="34" t="str">
        <f t="array" ref="E146">INDEX('Synergy import (8232022)'!A$1:L$229,MATCH(C146,'Synergy import (8232022)'!D$1:D$229,0),7)</f>
        <v>Elizabeth_L_Thomas@mcpsmd.org</v>
      </c>
      <c r="F146" s="56" t="s">
        <v>668</v>
      </c>
      <c r="G146" s="44" t="s">
        <v>490</v>
      </c>
      <c r="H146" s="36" t="str">
        <f t="array" aca="1" ref="H146" ca="1">IF(ISBLANK(I146),"",INDEX('SFSS import'!A$1:F$59,MATCH(I146,'SFSS import'!E$1:E$59,0),3))</f>
        <v>Sally Ruiz Miller</v>
      </c>
      <c r="I146" s="44" t="s">
        <v>491</v>
      </c>
      <c r="J146" s="36" t="s">
        <v>133</v>
      </c>
      <c r="K146" s="37" t="s">
        <v>134</v>
      </c>
      <c r="L146" s="55"/>
      <c r="M146" s="38"/>
      <c r="N146" s="38" t="s">
        <v>492</v>
      </c>
      <c r="O146" s="46"/>
      <c r="P146" s="49" t="s">
        <v>493</v>
      </c>
      <c r="Q146" s="38" t="s">
        <v>713</v>
      </c>
      <c r="R146" s="49"/>
    </row>
    <row r="147" spans="1:18" ht="25.5">
      <c r="A147" s="33" t="s">
        <v>154</v>
      </c>
      <c r="B147" s="33" t="s">
        <v>494</v>
      </c>
      <c r="C147" s="50">
        <v>562</v>
      </c>
      <c r="D147" s="34" t="str">
        <f t="array" ref="D147">INDEX('Synergy import (8232022)'!A$1:L$229,MATCH(C147,'Synergy import (8232022)'!D$1:D$229,0),8)</f>
        <v>Niper, Matthew T.</v>
      </c>
      <c r="E147" s="34" t="str">
        <f t="array" ref="E147">INDEX('Synergy import (8232022)'!A$1:L$229,MATCH(C147,'Synergy import (8232022)'!D$1:D$229,0),7)</f>
        <v>Matthew_T_Niper@mcpsmd.org</v>
      </c>
      <c r="F147" s="56" t="s">
        <v>495</v>
      </c>
      <c r="G147" s="44" t="s">
        <v>496</v>
      </c>
      <c r="H147" s="36" t="str">
        <f t="array" aca="1" ref="H147" ca="1">IF(ISBLANK(I147),"",INDEX('SFSS import'!A$1:F$59,MATCH(I147,'SFSS import'!E$1:E$59,0),3))</f>
        <v>Colleen DeCruise-Brown</v>
      </c>
      <c r="I147" s="44" t="s">
        <v>497</v>
      </c>
      <c r="J147" s="36" t="s">
        <v>171</v>
      </c>
      <c r="K147" s="37" t="s">
        <v>172</v>
      </c>
      <c r="L147" s="55"/>
      <c r="M147" s="39"/>
      <c r="N147" s="39"/>
      <c r="O147" s="46"/>
      <c r="P147" s="10"/>
      <c r="Q147" s="38" t="s">
        <v>714</v>
      </c>
      <c r="R147" s="49"/>
    </row>
    <row r="148" spans="1:18" ht="25.5">
      <c r="A148" s="33" t="s">
        <v>154</v>
      </c>
      <c r="B148" s="33" t="s">
        <v>498</v>
      </c>
      <c r="C148" s="50">
        <v>514</v>
      </c>
      <c r="D148" s="34" t="str">
        <f t="array" ref="D148">INDEX('Synergy import (8232022)'!A$1:L$229,MATCH(C148,'Synergy import (8232022)'!D$1:D$229,0),8)</f>
        <v>Thomas, LaTricia D.</v>
      </c>
      <c r="E148" s="34" t="str">
        <f t="array" ref="E148">INDEX('Synergy import (8232022)'!A$1:L$229,MATCH(C148,'Synergy import (8232022)'!D$1:D$229,0),7)</f>
        <v>Latricia_D_Thomas@mcpsmd.org</v>
      </c>
      <c r="F148" s="56" t="s">
        <v>275</v>
      </c>
      <c r="G148" s="44" t="s">
        <v>276</v>
      </c>
      <c r="H148" s="36" t="str">
        <f t="array" aca="1" ref="H148" ca="1">IF(ISBLANK(I148),"",INDEX('SFSS import'!A$1:F$59,MATCH(I148,'SFSS import'!E$1:E$59,0),3))</f>
        <v>Magda Sobalvarro-Ochoa</v>
      </c>
      <c r="I148" s="44" t="s">
        <v>277</v>
      </c>
      <c r="J148" s="36" t="s">
        <v>171</v>
      </c>
      <c r="K148" s="37" t="s">
        <v>172</v>
      </c>
      <c r="L148" s="55"/>
      <c r="M148" s="39"/>
      <c r="N148" s="39"/>
      <c r="O148" s="46"/>
      <c r="P148" s="10"/>
      <c r="Q148" s="38"/>
      <c r="R148" s="49"/>
    </row>
    <row r="149" spans="1:18" ht="12.75">
      <c r="A149" s="33" t="s">
        <v>89</v>
      </c>
      <c r="B149" s="33" t="s">
        <v>499</v>
      </c>
      <c r="C149" s="50">
        <v>965</v>
      </c>
      <c r="D149" s="34" t="str">
        <f t="array" ref="D149">INDEX('Synergy import (8232022)'!A$1:L$229,MATCH(C149,'Synergy import (8232022)'!D$1:D$229,0),8)</f>
        <v>Langston, Jada</v>
      </c>
      <c r="E149" s="34" t="str">
        <f t="array" ref="E149">INDEX('Synergy import (8232022)'!A$1:L$229,MATCH(C149,'Synergy import (8232022)'!D$1:D$229,0),7)</f>
        <v>Jada_Langston@mcpsmd.org</v>
      </c>
      <c r="F149" s="56" t="s">
        <v>217</v>
      </c>
      <c r="G149" s="52"/>
      <c r="H149" s="36" t="str">
        <f t="array" ref="H149">IF(ISBLANK(I149),"",INDEX('SFSS import'!A$1:F$59,MATCH(I149,'SFSS import'!E$1:E$59,0),3))</f>
        <v/>
      </c>
      <c r="I149" s="52"/>
      <c r="J149" s="36" t="s">
        <v>636</v>
      </c>
      <c r="K149" s="37" t="s">
        <v>637</v>
      </c>
      <c r="L149" s="55"/>
      <c r="M149" s="39"/>
      <c r="N149" s="39"/>
      <c r="O149" s="57"/>
      <c r="P149" s="49"/>
      <c r="Q149" s="38" t="s">
        <v>715</v>
      </c>
      <c r="R149" s="49"/>
    </row>
    <row r="150" spans="1:18" ht="12.75">
      <c r="A150" s="33" t="s">
        <v>383</v>
      </c>
      <c r="B150" s="33" t="s">
        <v>500</v>
      </c>
      <c r="C150" s="50">
        <v>242</v>
      </c>
      <c r="D150" s="34" t="str">
        <f t="array" ref="D150">INDEX('Synergy import (8232022)'!A$1:L$229,MATCH(C150,'Synergy import (8232022)'!D$1:D$229,0),8)</f>
        <v>Burgess, Elise M.</v>
      </c>
      <c r="E150" s="34" t="str">
        <f t="array" ref="E150">INDEX('Synergy import (8232022)'!A$1:L$229,MATCH(C150,'Synergy import (8232022)'!D$1:D$229,0),7)</f>
        <v>Elise_M_Burgess@mcpsmd.org</v>
      </c>
      <c r="F150" s="56" t="s">
        <v>224</v>
      </c>
      <c r="G150" s="44" t="s">
        <v>204</v>
      </c>
      <c r="H150" s="36" t="str">
        <f t="array" aca="1" ref="H150" ca="1">IF(ISBLANK(I150),"",INDEX('SFSS import'!A$1:F$59,MATCH(I150,'SFSS import'!E$1:E$59,0),3))</f>
        <v>Shanique Moore</v>
      </c>
      <c r="I150" s="44" t="s">
        <v>205</v>
      </c>
      <c r="J150" s="36" t="s">
        <v>387</v>
      </c>
      <c r="K150" s="37" t="s">
        <v>388</v>
      </c>
      <c r="L150" s="55"/>
      <c r="M150" s="39"/>
      <c r="N150" s="39"/>
      <c r="O150" s="46"/>
      <c r="P150" s="10"/>
      <c r="Q150" s="39"/>
      <c r="R150" s="49"/>
    </row>
    <row r="151" spans="1:18" ht="12.75">
      <c r="A151" s="33" t="s">
        <v>129</v>
      </c>
      <c r="B151" s="33" t="s">
        <v>502</v>
      </c>
      <c r="C151" s="34">
        <v>105</v>
      </c>
      <c r="D151" s="34" t="str">
        <f t="array" ref="D151">INDEX('Synergy import (8232022)'!A$1:L$229,MATCH(C151,'Synergy import (8232022)'!D$1:D$229,0),8)</f>
        <v>Garcia, Daniel E.</v>
      </c>
      <c r="E151" s="34" t="str">
        <f t="array" ref="E151">INDEX('Synergy import (8232022)'!A$1:L$229,MATCH(C151,'Synergy import (8232022)'!D$1:D$229,0),7)</f>
        <v>Daniel_E_Garcia@mcpsmd.org</v>
      </c>
      <c r="F151" s="60" t="s">
        <v>503</v>
      </c>
      <c r="G151" s="44" t="s">
        <v>370</v>
      </c>
      <c r="H151" s="36" t="str">
        <f t="array" aca="1" ref="H151" ca="1">IF(ISBLANK(I151),"",INDEX('SFSS import'!A$1:F$59,MATCH(I151,'SFSS import'!E$1:E$59,0),3))</f>
        <v>Alicia Newlands</v>
      </c>
      <c r="I151" s="44" t="s">
        <v>371</v>
      </c>
      <c r="J151" s="36" t="s">
        <v>167</v>
      </c>
      <c r="K151" s="37" t="s">
        <v>168</v>
      </c>
      <c r="L151" s="37" t="s">
        <v>504</v>
      </c>
      <c r="M151" s="39"/>
      <c r="N151" s="39"/>
      <c r="O151" s="57"/>
      <c r="P151" s="49"/>
      <c r="Q151" s="38" t="s">
        <v>716</v>
      </c>
      <c r="R151" s="49"/>
    </row>
    <row r="152" spans="1:18" ht="12.75">
      <c r="A152" s="33" t="s">
        <v>52</v>
      </c>
      <c r="B152" s="33" t="s">
        <v>505</v>
      </c>
      <c r="C152" s="50">
        <v>227</v>
      </c>
      <c r="D152" s="34" t="str">
        <f t="array" ref="D152">INDEX('Synergy import (8232022)'!A$1:L$229,MATCH(C152,'Synergy import (8232022)'!D$1:D$229,0),8)</f>
        <v>Winter, Andrew J.</v>
      </c>
      <c r="E152" s="34" t="str">
        <f t="array" ref="E152">INDEX('Synergy import (8232022)'!A$1:L$229,MATCH(C152,'Synergy import (8232022)'!D$1:D$229,0),7)</f>
        <v>Andrew_J_Winter@mcpsmd.org</v>
      </c>
      <c r="F152" s="56" t="s">
        <v>356</v>
      </c>
      <c r="G152" s="52"/>
      <c r="H152" s="36" t="str">
        <f t="array" ref="H152">IF(ISBLANK(I152),"",INDEX('SFSS import'!A$1:F$59,MATCH(I152,'SFSS import'!E$1:E$59,0),3))</f>
        <v/>
      </c>
      <c r="I152" s="52"/>
      <c r="J152" s="36" t="s">
        <v>59</v>
      </c>
      <c r="K152" s="37" t="s">
        <v>60</v>
      </c>
      <c r="L152" s="55"/>
      <c r="M152" s="39"/>
      <c r="N152" s="39"/>
      <c r="O152" s="46"/>
      <c r="P152" s="10"/>
      <c r="Q152" s="39"/>
      <c r="R152" s="49"/>
    </row>
    <row r="153" spans="1:18" ht="12.75">
      <c r="A153" s="33" t="s">
        <v>74</v>
      </c>
      <c r="B153" s="33" t="s">
        <v>506</v>
      </c>
      <c r="C153" s="50">
        <v>773</v>
      </c>
      <c r="D153" s="34" t="str">
        <f t="array" ref="D153">INDEX('Synergy import (8232022)'!A$1:L$229,MATCH(C153,'Synergy import (8232022)'!D$1:D$229,0),8)</f>
        <v>Lowndes, Jennifer H.</v>
      </c>
      <c r="E153" s="34" t="str">
        <f t="array" ref="E153">INDEX('Synergy import (8232022)'!A$1:L$229,MATCH(C153,'Synergy import (8232022)'!D$1:D$229,0),7)</f>
        <v>Jennifer_H_Lowndes@mcpsmd.org</v>
      </c>
      <c r="F153" s="56" t="s">
        <v>644</v>
      </c>
      <c r="G153" s="44" t="s">
        <v>507</v>
      </c>
      <c r="H153" s="36" t="str">
        <f t="array" aca="1" ref="H153" ca="1">IF(ISBLANK(I153),"",INDEX('SFSS import'!A$1:F$59,MATCH(I153,'SFSS import'!E$1:E$59,0),3))</f>
        <v>Liliane Cherrick</v>
      </c>
      <c r="I153" s="44" t="s">
        <v>508</v>
      </c>
      <c r="J153" s="36" t="s">
        <v>79</v>
      </c>
      <c r="K153" s="37" t="s">
        <v>80</v>
      </c>
      <c r="L153" s="55"/>
      <c r="M153" s="39"/>
      <c r="N153" s="39"/>
      <c r="O153" s="57"/>
      <c r="P153" s="49"/>
      <c r="Q153" s="38"/>
      <c r="R153" s="49"/>
    </row>
    <row r="154" spans="1:18" ht="12.75">
      <c r="A154" s="33" t="s">
        <v>45</v>
      </c>
      <c r="B154" s="33" t="s">
        <v>509</v>
      </c>
      <c r="C154" s="50">
        <v>819</v>
      </c>
      <c r="D154" s="34" t="str">
        <f t="array" ref="D154">INDEX('Synergy import (8232022)'!A$1:L$229,MATCH(C154,'Synergy import (8232022)'!D$1:D$229,0),8)</f>
        <v>Henriquez, Kimberly A.</v>
      </c>
      <c r="E154" s="34" t="str">
        <f t="array" ref="E154">INDEX('Synergy import (8232022)'!A$1:L$229,MATCH(C154,'Synergy import (8232022)'!D$1:D$229,0),7)</f>
        <v>Kimberly_Henriquez@mcpsmd.org</v>
      </c>
      <c r="F154" s="56" t="s">
        <v>510</v>
      </c>
      <c r="G154" s="44" t="s">
        <v>48</v>
      </c>
      <c r="H154" s="36" t="str">
        <f t="array" aca="1" ref="H154" ca="1">IF(ISBLANK(I154),"",INDEX('SFSS import'!A$1:F$59,MATCH(I154,'SFSS import'!E$1:E$59,0),3))</f>
        <v>Cindy Rowry Sadur</v>
      </c>
      <c r="I154" s="44" t="s">
        <v>49</v>
      </c>
      <c r="J154" s="36" t="s">
        <v>636</v>
      </c>
      <c r="K154" s="37" t="s">
        <v>637</v>
      </c>
      <c r="L154" s="55"/>
      <c r="M154" s="39"/>
      <c r="N154" s="39"/>
      <c r="O154" s="46"/>
      <c r="P154" s="10"/>
      <c r="Q154" s="39"/>
      <c r="R154" s="49"/>
    </row>
    <row r="155" spans="1:18" ht="12.75">
      <c r="A155" s="33" t="s">
        <v>89</v>
      </c>
      <c r="B155" s="33" t="s">
        <v>511</v>
      </c>
      <c r="C155" s="50">
        <v>916</v>
      </c>
      <c r="D155" s="34" t="str">
        <f t="array" ref="D155">INDEX('Synergy import (8232022)'!A$1:L$229,MATCH(C155,'Synergy import (8232022)'!D$1:D$229,0),8)</f>
        <v>Gaillard-Jones, Lisa M.</v>
      </c>
      <c r="E155" s="34" t="str">
        <f t="array" ref="E155">INDEX('Synergy import (8232022)'!A$1:L$229,MATCH(C155,'Synergy import (8232022)'!D$1:D$229,0),7)</f>
        <v>Lisa_M_Gaillard-Jones@mcpsmd.org</v>
      </c>
      <c r="F155" s="56" t="s">
        <v>261</v>
      </c>
      <c r="G155" s="82"/>
      <c r="H155" s="36" t="str">
        <f t="array" ref="H155">IF(ISBLANK(I155),"",INDEX('SFSS import'!A$1:F$59,MATCH(I155,'SFSS import'!E$1:E$59,0),3))</f>
        <v/>
      </c>
      <c r="I155" s="82"/>
      <c r="J155" s="36" t="s">
        <v>87</v>
      </c>
      <c r="K155" s="37" t="s">
        <v>88</v>
      </c>
      <c r="L155" s="55"/>
      <c r="M155" s="39"/>
      <c r="N155" s="39"/>
      <c r="O155" s="46"/>
      <c r="P155" s="10"/>
      <c r="Q155" s="38" t="s">
        <v>669</v>
      </c>
      <c r="R155" s="49"/>
    </row>
    <row r="156" spans="1:18" ht="25.5">
      <c r="A156" s="33" t="s">
        <v>247</v>
      </c>
      <c r="B156" s="33" t="s">
        <v>512</v>
      </c>
      <c r="C156" s="34">
        <v>795</v>
      </c>
      <c r="D156" s="34" t="str">
        <f t="array" ref="D156">INDEX('Synergy import (8232022)'!A$1:L$229,MATCH(C156,'Synergy import (8232022)'!D$1:D$229,0),8)</f>
        <v>Alexander, Kristine A.</v>
      </c>
      <c r="E156" s="34" t="str">
        <f t="array" ref="E156">INDEX('Synergy import (8232022)'!A$1:L$229,MATCH(C156,'Synergy import (8232022)'!D$1:D$229,0),7)</f>
        <v>Kristine_A_Alexander@mcpsmd.org</v>
      </c>
      <c r="F156" s="43" t="s">
        <v>649</v>
      </c>
      <c r="G156" s="44" t="s">
        <v>451</v>
      </c>
      <c r="H156" s="36" t="str">
        <f t="array" aca="1" ref="H156" ca="1">IF(ISBLANK(I156),"",INDEX('SFSS import'!A$1:F$59,MATCH(I156,'SFSS import'!E$1:E$59,0),3))</f>
        <v>Maria Romero</v>
      </c>
      <c r="I156" s="44" t="s">
        <v>452</v>
      </c>
      <c r="J156" s="36" t="s">
        <v>350</v>
      </c>
      <c r="K156" s="37" t="s">
        <v>351</v>
      </c>
      <c r="L156" s="37" t="s">
        <v>16</v>
      </c>
      <c r="M156" s="39"/>
      <c r="N156" s="39"/>
      <c r="O156" s="57"/>
      <c r="P156" s="49"/>
      <c r="Q156" s="38"/>
      <c r="R156" s="49"/>
    </row>
    <row r="157" spans="1:18" ht="12.75">
      <c r="A157" s="33" t="s">
        <v>45</v>
      </c>
      <c r="B157" s="33" t="s">
        <v>513</v>
      </c>
      <c r="C157" s="34">
        <v>230</v>
      </c>
      <c r="D157" s="34" t="str">
        <f t="array" ref="D157">INDEX('Synergy import (8232022)'!A$1:L$229,MATCH(C157,'Synergy import (8232022)'!D$1:D$229,0),8)</f>
        <v>Pyles, Rhoshanda M.</v>
      </c>
      <c r="E157" s="34" t="str">
        <f t="array" ref="E157">INDEX('Synergy import (8232022)'!A$1:L$229,MATCH(C157,'Synergy import (8232022)'!D$1:D$229,0),7)</f>
        <v>Rhoshanda_M_Pyles@mcpsmd.org</v>
      </c>
      <c r="F157" s="43" t="s">
        <v>717</v>
      </c>
      <c r="G157" s="44" t="s">
        <v>514</v>
      </c>
      <c r="H157" s="36" t="str">
        <f t="array" aca="1" ref="H157" ca="1">IF(ISBLANK(I157),"",INDEX('SFSS import'!A$1:F$59,MATCH(I157,'SFSS import'!E$1:E$59,0),3))</f>
        <v>Eduardo Garduno Villa</v>
      </c>
      <c r="I157" s="44" t="s">
        <v>418</v>
      </c>
      <c r="J157" s="36" t="s">
        <v>50</v>
      </c>
      <c r="K157" s="37" t="s">
        <v>51</v>
      </c>
      <c r="L157" s="55"/>
      <c r="M157" s="59"/>
      <c r="N157" s="59"/>
      <c r="O157" s="57"/>
      <c r="P157" s="49" t="s">
        <v>718</v>
      </c>
      <c r="Q157" s="38" t="s">
        <v>719</v>
      </c>
      <c r="R157" s="49"/>
    </row>
    <row r="158" spans="1:18" ht="12.75">
      <c r="A158" s="33" t="s">
        <v>29</v>
      </c>
      <c r="B158" s="33" t="s">
        <v>515</v>
      </c>
      <c r="C158" s="50">
        <v>156</v>
      </c>
      <c r="D158" s="34" t="str">
        <f t="array" ref="D158">INDEX('Synergy import (8232022)'!A$1:L$229,MATCH(C158,'Synergy import (8232022)'!D$1:D$229,0),8)</f>
        <v>Clark, Cheryl A.</v>
      </c>
      <c r="E158" s="34" t="str">
        <f t="array" ref="E158">INDEX('Synergy import (8232022)'!A$1:L$229,MATCH(C158,'Synergy import (8232022)'!D$1:D$229,0),7)</f>
        <v>Cheryl_Clark@mcpsmd.org</v>
      </c>
      <c r="F158" s="56" t="s">
        <v>174</v>
      </c>
      <c r="G158" s="44" t="s">
        <v>32</v>
      </c>
      <c r="H158" s="36" t="str">
        <f t="array" aca="1" ref="H158" ca="1">IF(ISBLANK(I158),"",INDEX('SFSS import'!A$1:F$59,MATCH(I158,'SFSS import'!E$1:E$59,0),3))</f>
        <v>Molly Kim</v>
      </c>
      <c r="I158" s="44" t="s">
        <v>33</v>
      </c>
      <c r="J158" s="36" t="s">
        <v>34</v>
      </c>
      <c r="K158" s="37" t="s">
        <v>35</v>
      </c>
      <c r="L158" s="55"/>
      <c r="M158" s="39"/>
      <c r="N158" s="39"/>
      <c r="O158" s="46"/>
      <c r="P158" s="10"/>
      <c r="Q158" s="39"/>
      <c r="R158" s="49"/>
    </row>
    <row r="159" spans="1:18" ht="12.75">
      <c r="A159" s="33" t="s">
        <v>148</v>
      </c>
      <c r="B159" s="33" t="s">
        <v>516</v>
      </c>
      <c r="C159" s="50">
        <v>707</v>
      </c>
      <c r="D159" s="34" t="str">
        <f t="array" ref="D159">INDEX('Synergy import (8232022)'!A$1:L$229,MATCH(C159,'Synergy import (8232022)'!D$1:D$229,0),8)</f>
        <v>Johnson, Darryl V.</v>
      </c>
      <c r="E159" s="34" t="str">
        <f t="array" ref="E159">INDEX('Synergy import (8232022)'!A$1:L$229,MATCH(C159,'Synergy import (8232022)'!D$1:D$229,0),7)</f>
        <v>Darryl_V_Johnson@mcpsmd.org</v>
      </c>
      <c r="F159" s="56" t="s">
        <v>174</v>
      </c>
      <c r="G159" s="44" t="s">
        <v>675</v>
      </c>
      <c r="H159" s="36" t="str">
        <f t="array" aca="1" ref="H159" ca="1">IF(ISBLANK(I159),"",INDEX('SFSS import'!A$1:F$59,MATCH(I159,'SFSS import'!E$1:E$59,0),3))</f>
        <v>Paty Williams</v>
      </c>
      <c r="I159" s="44" t="s">
        <v>296</v>
      </c>
      <c r="J159" s="36" t="s">
        <v>387</v>
      </c>
      <c r="K159" s="37" t="s">
        <v>388</v>
      </c>
      <c r="L159" s="37" t="s">
        <v>475</v>
      </c>
      <c r="M159" s="39"/>
      <c r="N159" s="39"/>
      <c r="O159" s="46"/>
      <c r="P159" s="10"/>
      <c r="Q159" s="38" t="s">
        <v>720</v>
      </c>
      <c r="R159" s="49"/>
    </row>
    <row r="160" spans="1:18" ht="25.5">
      <c r="A160" s="33" t="s">
        <v>284</v>
      </c>
      <c r="B160" s="33" t="s">
        <v>517</v>
      </c>
      <c r="C160" s="50">
        <v>771</v>
      </c>
      <c r="D160" s="34" t="str">
        <f t="array" ref="D160">INDEX('Synergy import (8232022)'!A$1:L$229,MATCH(C160,'Synergy import (8232022)'!D$1:D$229,0),8)</f>
        <v>Palladino, Jessica V.</v>
      </c>
      <c r="E160" s="34" t="str">
        <f t="array" ref="E160">INDEX('Synergy import (8232022)'!A$1:L$229,MATCH(C160,'Synergy import (8232022)'!D$1:D$229,0),7)</f>
        <v>Jessica_V_Palladino@mcpsmd.org</v>
      </c>
      <c r="F160" s="56" t="s">
        <v>455</v>
      </c>
      <c r="G160" s="44" t="s">
        <v>361</v>
      </c>
      <c r="H160" s="36" t="str">
        <f t="array" aca="1" ref="H160" ca="1">IF(ISBLANK(I160),"",INDEX('SFSS import'!A$1:F$59,MATCH(I160,'SFSS import'!E$1:E$59,0),3))</f>
        <v>Barnabas Nkemleke</v>
      </c>
      <c r="I160" s="44" t="s">
        <v>362</v>
      </c>
      <c r="J160" s="36" t="s">
        <v>518</v>
      </c>
      <c r="K160" s="37" t="s">
        <v>519</v>
      </c>
      <c r="L160" s="37" t="s">
        <v>520</v>
      </c>
      <c r="M160" s="39"/>
      <c r="N160" s="39"/>
      <c r="O160" s="46"/>
      <c r="P160" s="10"/>
      <c r="Q160" s="38"/>
      <c r="R160" s="49"/>
    </row>
    <row r="161" spans="1:18" ht="12.75">
      <c r="A161" s="33" t="s">
        <v>139</v>
      </c>
      <c r="B161" s="33" t="s">
        <v>521</v>
      </c>
      <c r="C161" s="34">
        <v>307</v>
      </c>
      <c r="D161" s="34" t="str">
        <f t="array" ref="D161">INDEX('Synergy import (8232022)'!A$1:L$229,MATCH(C161,'Synergy import (8232022)'!D$1:D$229,0),8)</f>
        <v>Ffolkes, Annette M.</v>
      </c>
      <c r="E161" s="34" t="str">
        <f t="array" ref="E161">INDEX('Synergy import (8232022)'!A$1:L$229,MATCH(C161,'Synergy import (8232022)'!D$1:D$229,0),7)</f>
        <v>Annette_M_Ffolkes@mcpsmd.org</v>
      </c>
      <c r="F161" s="60" t="s">
        <v>684</v>
      </c>
      <c r="G161" s="44" t="s">
        <v>103</v>
      </c>
      <c r="H161" s="36" t="str">
        <f t="array" aca="1" ref="H161" ca="1">IF(ISBLANK(I161),"",INDEX('SFSS import'!A$1:F$59,MATCH(I161,'SFSS import'!E$1:E$59,0),3))</f>
        <v>Crystal Granados</v>
      </c>
      <c r="I161" s="44" t="s">
        <v>104</v>
      </c>
      <c r="J161" s="36" t="s">
        <v>222</v>
      </c>
      <c r="K161" s="37" t="s">
        <v>161</v>
      </c>
      <c r="L161" s="37" t="s">
        <v>202</v>
      </c>
      <c r="M161" s="39"/>
      <c r="N161" s="39"/>
      <c r="O161" s="46"/>
      <c r="P161" s="10"/>
      <c r="Q161" s="39"/>
      <c r="R161" s="49"/>
    </row>
    <row r="162" spans="1:18" ht="12.75">
      <c r="A162" s="33" t="s">
        <v>74</v>
      </c>
      <c r="B162" s="33" t="s">
        <v>522</v>
      </c>
      <c r="C162" s="50">
        <v>794</v>
      </c>
      <c r="D162" s="34" t="str">
        <f t="array" ref="D162">INDEX('Synergy import (8232022)'!A$1:L$229,MATCH(C162,'Synergy import (8232022)'!D$1:D$229,0),8)</f>
        <v>Irwin Kennedy, Rebecca A.</v>
      </c>
      <c r="E162" s="34" t="str">
        <f t="array" ref="E162">INDEX('Synergy import (8232022)'!A$1:L$229,MATCH(C162,'Synergy import (8232022)'!D$1:D$229,0),7)</f>
        <v>Rebecca_A_IrwinKennedy@mcpsmd.org</v>
      </c>
      <c r="F162" s="51" t="s">
        <v>85</v>
      </c>
      <c r="G162" s="44" t="s">
        <v>507</v>
      </c>
      <c r="H162" s="36" t="str">
        <f t="array" aca="1" ref="H162" ca="1">IF(ISBLANK(I162),"",INDEX('SFSS import'!A$1:F$59,MATCH(I162,'SFSS import'!E$1:E$59,0),3))</f>
        <v>Liliane Cherrick</v>
      </c>
      <c r="I162" s="44" t="s">
        <v>508</v>
      </c>
      <c r="J162" s="36" t="s">
        <v>79</v>
      </c>
      <c r="K162" s="37" t="s">
        <v>80</v>
      </c>
      <c r="L162" s="55"/>
      <c r="M162" s="39"/>
      <c r="N162" s="39"/>
      <c r="O162" s="46"/>
      <c r="P162" s="10"/>
      <c r="Q162" s="39"/>
      <c r="R162" s="49"/>
    </row>
    <row r="163" spans="1:18" ht="12.75">
      <c r="A163" s="33" t="s">
        <v>291</v>
      </c>
      <c r="B163" s="33" t="s">
        <v>523</v>
      </c>
      <c r="C163" s="50">
        <v>555</v>
      </c>
      <c r="D163" s="34" t="str">
        <f t="array" ref="D163">INDEX('Synergy import (8232022)'!A$1:L$229,MATCH(C163,'Synergy import (8232022)'!D$1:D$229,0),8)</f>
        <v>Cooke, Keely R.</v>
      </c>
      <c r="E163" s="34" t="str">
        <f t="array" ref="E163">INDEX('Synergy import (8232022)'!A$1:L$229,MATCH(C163,'Synergy import (8232022)'!D$1:D$229,0),7)</f>
        <v>Keely_R_Cooke@mcpsmd.org</v>
      </c>
      <c r="F163" s="56" t="s">
        <v>573</v>
      </c>
      <c r="G163" s="44" t="s">
        <v>54</v>
      </c>
      <c r="H163" s="36" t="str">
        <f t="array" aca="1" ref="H163" ca="1">IF(ISBLANK(I163),"",INDEX('SFSS import'!A$1:F$59,MATCH(I163,'SFSS import'!E$1:E$59,0),3))</f>
        <v>Jeremy Smith</v>
      </c>
      <c r="I163" s="44" t="s">
        <v>55</v>
      </c>
      <c r="J163" s="36" t="s">
        <v>302</v>
      </c>
      <c r="K163" s="37" t="s">
        <v>303</v>
      </c>
      <c r="L163" s="55"/>
      <c r="M163" s="39"/>
      <c r="N163" s="39"/>
      <c r="O163" s="46"/>
      <c r="P163" s="10"/>
      <c r="Q163" s="39"/>
      <c r="R163" s="49"/>
    </row>
    <row r="164" spans="1:18" ht="12.75">
      <c r="A164" s="33" t="s">
        <v>383</v>
      </c>
      <c r="B164" s="33" t="s">
        <v>525</v>
      </c>
      <c r="C164" s="50">
        <v>104</v>
      </c>
      <c r="D164" s="34" t="str">
        <f t="array" ref="D164">INDEX('Synergy import (8232022)'!A$1:L$229,MATCH(C164,'Synergy import (8232022)'!D$1:D$229,0),8)</f>
        <v>Cohen, Marc J.</v>
      </c>
      <c r="E164" s="34" t="str">
        <f t="array" ref="E164">INDEX('Synergy import (8232022)'!A$1:L$229,MATCH(C164,'Synergy import (8232022)'!D$1:D$229,0),7)</f>
        <v>Marc_J_Cohen@mcpsmd.org</v>
      </c>
      <c r="F164" s="51" t="s">
        <v>423</v>
      </c>
      <c r="G164" s="44" t="s">
        <v>490</v>
      </c>
      <c r="H164" s="36" t="str">
        <f t="array" aca="1" ref="H164" ca="1">IF(ISBLANK(I164),"",INDEX('SFSS import'!A$1:F$59,MATCH(I164,'SFSS import'!E$1:E$59,0),3))</f>
        <v>Sally Ruiz Miller</v>
      </c>
      <c r="I164" s="44" t="s">
        <v>491</v>
      </c>
      <c r="J164" s="36" t="s">
        <v>398</v>
      </c>
      <c r="K164" s="37" t="s">
        <v>399</v>
      </c>
      <c r="L164" s="37" t="s">
        <v>187</v>
      </c>
      <c r="M164" s="38"/>
      <c r="N164" s="38" t="s">
        <v>526</v>
      </c>
      <c r="O164" s="46"/>
      <c r="P164" s="49" t="s">
        <v>721</v>
      </c>
      <c r="Q164" s="38" t="s">
        <v>722</v>
      </c>
      <c r="R164" s="49"/>
    </row>
    <row r="165" spans="1:18" ht="25.5">
      <c r="A165" s="33" t="s">
        <v>154</v>
      </c>
      <c r="B165" s="33" t="s">
        <v>527</v>
      </c>
      <c r="C165" s="50">
        <v>565</v>
      </c>
      <c r="D165" s="34" t="str">
        <f t="array" ref="D165">INDEX('Synergy import (8232022)'!A$1:L$229,MATCH(C165,'Synergy import (8232022)'!D$1:D$229,0),8)</f>
        <v>Murphy, Megan H.</v>
      </c>
      <c r="E165" s="34" t="str">
        <f t="array" ref="E165">INDEX('Synergy import (8232022)'!A$1:L$229,MATCH(C165,'Synergy import (8232022)'!D$1:D$229,0),7)</f>
        <v>Megan_H_Murphy@mcpsmd.org</v>
      </c>
      <c r="F165" s="56" t="s">
        <v>495</v>
      </c>
      <c r="G165" s="44" t="s">
        <v>496</v>
      </c>
      <c r="H165" s="36" t="str">
        <f t="array" aca="1" ref="H165" ca="1">IF(ISBLANK(I165),"",INDEX('SFSS import'!A$1:F$59,MATCH(I165,'SFSS import'!E$1:E$59,0),3))</f>
        <v>Colleen DeCruise-Brown</v>
      </c>
      <c r="I165" s="44" t="s">
        <v>497</v>
      </c>
      <c r="J165" s="36" t="s">
        <v>157</v>
      </c>
      <c r="K165" s="37" t="s">
        <v>158</v>
      </c>
      <c r="L165" s="55"/>
      <c r="M165" s="39"/>
      <c r="N165" s="39"/>
      <c r="O165" s="46"/>
      <c r="P165" s="10"/>
      <c r="Q165" s="39"/>
      <c r="R165" s="49"/>
    </row>
    <row r="166" spans="1:18" ht="12.75">
      <c r="A166" s="33" t="s">
        <v>65</v>
      </c>
      <c r="B166" s="33" t="s">
        <v>528</v>
      </c>
      <c r="C166" s="50">
        <v>603</v>
      </c>
      <c r="D166" s="34" t="str">
        <f t="array" ref="D166">INDEX('Synergy import (8232022)'!A$1:L$229,MATCH(C166,'Synergy import (8232022)'!D$1:D$229,0),8)</f>
        <v>Carr, Ilana S.</v>
      </c>
      <c r="E166" s="34" t="str">
        <f t="array" ref="E166">INDEX('Synergy import (8232022)'!A$1:L$229,MATCH(C166,'Synergy import (8232022)'!D$1:D$229,0),7)</f>
        <v>Ilana_S_Carr@mcpsmd.org</v>
      </c>
      <c r="F166" s="56" t="s">
        <v>356</v>
      </c>
      <c r="G166" s="52"/>
      <c r="H166" s="36" t="str">
        <f t="array" ref="H166">IF(ISBLANK(I166),"",INDEX('SFSS import'!A$1:F$59,MATCH(I166,'SFSS import'!E$1:E$59,0),3))</f>
        <v/>
      </c>
      <c r="I166" s="52"/>
      <c r="J166" s="36" t="s">
        <v>87</v>
      </c>
      <c r="K166" s="37" t="s">
        <v>88</v>
      </c>
      <c r="L166" s="55"/>
      <c r="M166" s="39"/>
      <c r="N166" s="39"/>
      <c r="O166" s="57"/>
      <c r="P166" s="49"/>
      <c r="Q166" s="38"/>
      <c r="R166" s="49"/>
    </row>
    <row r="167" spans="1:18" ht="12.75">
      <c r="A167" s="33" t="s">
        <v>154</v>
      </c>
      <c r="B167" s="33" t="s">
        <v>529</v>
      </c>
      <c r="C167" s="50">
        <v>521</v>
      </c>
      <c r="D167" s="34" t="str">
        <f t="array" ref="D167">INDEX('Synergy import (8232022)'!A$1:L$229,MATCH(C167,'Synergy import (8232022)'!D$1:D$229,0),8)</f>
        <v>Murray, Alana D.</v>
      </c>
      <c r="E167" s="34" t="str">
        <f t="array" ref="E167">INDEX('Synergy import (8232022)'!A$1:L$229,MATCH(C167,'Synergy import (8232022)'!D$1:D$229,0),7)</f>
        <v>Alana_D_Murray@mcpsmd.org</v>
      </c>
      <c r="F167" s="56" t="s">
        <v>530</v>
      </c>
      <c r="G167" s="44" t="s">
        <v>54</v>
      </c>
      <c r="H167" s="36" t="str">
        <f t="array" aca="1" ref="H167" ca="1">IF(ISBLANK(I167),"",INDEX('SFSS import'!A$1:F$59,MATCH(I167,'SFSS import'!E$1:E$59,0),3))</f>
        <v>Jeremy Smith</v>
      </c>
      <c r="I167" s="44" t="s">
        <v>55</v>
      </c>
      <c r="J167" s="36" t="s">
        <v>171</v>
      </c>
      <c r="K167" s="37" t="s">
        <v>172</v>
      </c>
      <c r="L167" s="55"/>
      <c r="M167" s="39"/>
      <c r="N167" s="39"/>
      <c r="O167" s="46"/>
      <c r="P167" s="10"/>
      <c r="Q167" s="38" t="s">
        <v>723</v>
      </c>
      <c r="R167" s="49"/>
    </row>
    <row r="168" spans="1:18" ht="12.75">
      <c r="A168" s="33" t="s">
        <v>69</v>
      </c>
      <c r="B168" s="33" t="s">
        <v>531</v>
      </c>
      <c r="C168" s="50">
        <v>501</v>
      </c>
      <c r="D168" s="34" t="str">
        <f t="array" ref="D168">INDEX('Synergy import (8232022)'!A$1:L$229,MATCH(C168,'Synergy import (8232022)'!D$1:D$229,0),8)</f>
        <v>Brewer, Dina E.</v>
      </c>
      <c r="E168" s="34" t="str">
        <f t="array" ref="E168">INDEX('Synergy import (8232022)'!A$1:L$229,MATCH(C168,'Synergy import (8232022)'!D$1:D$229,0),7)</f>
        <v>Dina_E_Brewer@mcpsmd.org</v>
      </c>
      <c r="F168" s="51" t="s">
        <v>71</v>
      </c>
      <c r="G168" s="52"/>
      <c r="H168" s="36" t="str">
        <f t="array" ref="H168">IF(ISBLANK(I168),"",INDEX('SFSS import'!A$1:F$59,MATCH(I168,'SFSS import'!E$1:E$59,0),3))</f>
        <v/>
      </c>
      <c r="I168" s="52"/>
      <c r="J168" s="36" t="s">
        <v>72</v>
      </c>
      <c r="K168" s="37" t="s">
        <v>73</v>
      </c>
      <c r="L168" s="55"/>
      <c r="M168" s="39"/>
      <c r="N168" s="39"/>
      <c r="O168" s="57"/>
      <c r="P168" s="49"/>
      <c r="Q168" s="38"/>
      <c r="R168" s="49"/>
    </row>
    <row r="169" spans="1:18" ht="12.75">
      <c r="A169" s="33" t="s">
        <v>69</v>
      </c>
      <c r="B169" s="33" t="s">
        <v>532</v>
      </c>
      <c r="C169" s="50">
        <v>503</v>
      </c>
      <c r="D169" s="34" t="str">
        <f t="array" ref="D169">INDEX('Synergy import (8232022)'!A$1:L$229,MATCH(C169,'Synergy import (8232022)'!D$1:D$229,0),8)</f>
        <v>Britton, Timothy D.</v>
      </c>
      <c r="E169" s="34" t="str">
        <f t="array" ref="E169">INDEX('Synergy import (8232022)'!A$1:L$229,MATCH(C169,'Synergy import (8232022)'!D$1:D$229,0),7)</f>
        <v>Timothy_D_Britton@mcpsmd.org</v>
      </c>
      <c r="F169" s="56" t="s">
        <v>477</v>
      </c>
      <c r="G169" s="52"/>
      <c r="H169" s="36" t="str">
        <f t="array" ref="H169">IF(ISBLANK(I169),"",INDEX('SFSS import'!A$1:F$59,MATCH(I169,'SFSS import'!E$1:E$59,0),3))</f>
        <v/>
      </c>
      <c r="I169" s="52"/>
      <c r="J169" s="36" t="s">
        <v>341</v>
      </c>
      <c r="K169" s="37" t="s">
        <v>121</v>
      </c>
      <c r="L169" s="37" t="s">
        <v>435</v>
      </c>
      <c r="M169" s="59"/>
      <c r="N169" s="59"/>
      <c r="O169" s="46"/>
      <c r="P169" s="49" t="s">
        <v>533</v>
      </c>
      <c r="Q169" s="38" t="s">
        <v>724</v>
      </c>
      <c r="R169" s="49"/>
    </row>
    <row r="170" spans="1:18" ht="12.75">
      <c r="A170" s="33" t="s">
        <v>122</v>
      </c>
      <c r="B170" s="33" t="s">
        <v>534</v>
      </c>
      <c r="C170" s="50">
        <v>779</v>
      </c>
      <c r="D170" s="34" t="str">
        <f t="array" ref="D170">INDEX('Synergy import (8232022)'!A$1:L$229,MATCH(C170,'Synergy import (8232022)'!D$1:D$229,0),8)</f>
        <v>Brown, Zoraida E.</v>
      </c>
      <c r="E170" s="34" t="str">
        <f t="array" ref="E170">INDEX('Synergy import (8232022)'!A$1:L$229,MATCH(C170,'Synergy import (8232022)'!D$1:D$229,0),7)</f>
        <v>Zoraida_E_Brown@mcpsmd.org</v>
      </c>
      <c r="F170" s="56" t="s">
        <v>279</v>
      </c>
      <c r="G170" s="83" t="s">
        <v>535</v>
      </c>
      <c r="H170" s="36" t="str">
        <f t="array" aca="1" ref="H170" ca="1">IF(ISBLANK(I170),"",INDEX('SFSS import'!A$1:F$59,MATCH(I170,'SFSS import'!E$1:E$59,0),3))</f>
        <v>Abebe Kassaye</v>
      </c>
      <c r="I170" s="83" t="s">
        <v>536</v>
      </c>
      <c r="J170" s="36" t="s">
        <v>353</v>
      </c>
      <c r="K170" s="37" t="s">
        <v>354</v>
      </c>
      <c r="L170" s="37" t="s">
        <v>537</v>
      </c>
      <c r="M170" s="39"/>
      <c r="N170" s="39"/>
      <c r="O170" s="46"/>
      <c r="P170" s="10"/>
      <c r="Q170" s="39"/>
      <c r="R170" s="49"/>
    </row>
    <row r="171" spans="1:18" ht="12.75">
      <c r="A171" s="33" t="s">
        <v>74</v>
      </c>
      <c r="B171" s="33" t="s">
        <v>538</v>
      </c>
      <c r="C171" s="50">
        <v>835</v>
      </c>
      <c r="D171" s="34" t="str">
        <f t="array" ref="D171">INDEX('Synergy import (8232022)'!A$1:L$229,MATCH(C171,'Synergy import (8232022)'!D$1:D$229,0),8)</f>
        <v>Awkard, Tiffany N.</v>
      </c>
      <c r="E171" s="34" t="str">
        <f t="array" ref="E171">INDEX('Synergy import (8232022)'!A$1:L$229,MATCH(C171,'Synergy import (8232022)'!D$1:D$229,0),7)</f>
        <v>Tiffany_N_Awkard@mcpsmd.org</v>
      </c>
      <c r="F171" s="56" t="s">
        <v>455</v>
      </c>
      <c r="G171" s="44" t="s">
        <v>507</v>
      </c>
      <c r="H171" s="36" t="str">
        <f t="array" aca="1" ref="H171" ca="1">IF(ISBLANK(I171),"",INDEX('SFSS import'!A$1:F$59,MATCH(I171,'SFSS import'!E$1:E$59,0),3))</f>
        <v>Liliane Cherrick</v>
      </c>
      <c r="I171" s="44" t="s">
        <v>508</v>
      </c>
      <c r="J171" s="36" t="s">
        <v>640</v>
      </c>
      <c r="K171" s="37" t="s">
        <v>641</v>
      </c>
      <c r="L171" s="55"/>
      <c r="M171" s="39"/>
      <c r="N171" s="39"/>
      <c r="O171" s="46"/>
      <c r="P171" s="10"/>
      <c r="Q171" s="38" t="s">
        <v>725</v>
      </c>
      <c r="R171" s="49"/>
    </row>
    <row r="172" spans="1:18" ht="25.5">
      <c r="A172" s="33" t="s">
        <v>284</v>
      </c>
      <c r="B172" s="33" t="s">
        <v>539</v>
      </c>
      <c r="C172" s="34">
        <v>647</v>
      </c>
      <c r="D172" s="34" t="str">
        <f t="array" ref="D172">INDEX('Synergy import (8232022)'!A$1:L$229,MATCH(C172,'Synergy import (8232022)'!D$1:D$229,0),8)</f>
        <v>Bryant, Karen Y.</v>
      </c>
      <c r="E172" s="34" t="str">
        <f t="array" ref="E172">INDEX('Synergy import (8232022)'!A$1:L$229,MATCH(C172,'Synergy import (8232022)'!D$1:D$229,0),7)</f>
        <v>Karen_Y_Bryant@mcpsmd.org</v>
      </c>
      <c r="F172" s="60" t="s">
        <v>540</v>
      </c>
      <c r="G172" s="44" t="s">
        <v>234</v>
      </c>
      <c r="H172" s="36" t="str">
        <f t="array" aca="1" ref="H172" ca="1">IF(ISBLANK(I172),"",INDEX('SFSS import'!A$1:F$59,MATCH(I172,'SFSS import'!E$1:E$59,0),3))</f>
        <v>Evelyn Zuniga-Sanchez</v>
      </c>
      <c r="I172" s="44" t="s">
        <v>235</v>
      </c>
      <c r="J172" s="36" t="s">
        <v>518</v>
      </c>
      <c r="K172" s="37" t="s">
        <v>519</v>
      </c>
      <c r="L172" s="37" t="s">
        <v>107</v>
      </c>
      <c r="M172" s="39"/>
      <c r="N172" s="39"/>
      <c r="O172" s="46"/>
      <c r="P172" s="10"/>
      <c r="Q172" s="38" t="s">
        <v>726</v>
      </c>
      <c r="R172" s="49"/>
    </row>
    <row r="173" spans="1:18" ht="12.75">
      <c r="A173" s="33" t="s">
        <v>247</v>
      </c>
      <c r="B173" s="33" t="s">
        <v>541</v>
      </c>
      <c r="C173" s="34">
        <v>770</v>
      </c>
      <c r="D173" s="34" t="str">
        <f t="array" ref="D173">INDEX('Synergy import (8232022)'!A$1:L$229,MATCH(C173,'Synergy import (8232022)'!D$1:D$229,0),8)</f>
        <v>Heatwole, Kyle J.</v>
      </c>
      <c r="E173" s="34" t="str">
        <f t="array" ref="E173">INDEX('Synergy import (8232022)'!A$1:L$229,MATCH(C173,'Synergy import (8232022)'!D$1:D$229,0),7)</f>
        <v>Kyle_J_Heatwole@mcpsmd.org</v>
      </c>
      <c r="F173" s="43" t="s">
        <v>649</v>
      </c>
      <c r="G173" s="44" t="s">
        <v>287</v>
      </c>
      <c r="H173" s="36" t="str">
        <f t="array" aca="1" ref="H173" ca="1">IF(ISBLANK(I173),"",INDEX('SFSS import'!A$1:F$59,MATCH(I173,'SFSS import'!E$1:E$59,0),3))</f>
        <v>Veronica Gonzalez</v>
      </c>
      <c r="I173" s="44" t="s">
        <v>288</v>
      </c>
      <c r="J173" s="36" t="s">
        <v>111</v>
      </c>
      <c r="K173" s="37" t="s">
        <v>112</v>
      </c>
      <c r="L173" s="37" t="s">
        <v>727</v>
      </c>
      <c r="M173" s="39"/>
      <c r="N173" s="39"/>
      <c r="O173" s="57"/>
      <c r="P173" s="49"/>
      <c r="Q173" s="38"/>
      <c r="R173" s="49"/>
    </row>
    <row r="174" spans="1:18" ht="12.75">
      <c r="A174" s="33" t="s">
        <v>284</v>
      </c>
      <c r="B174" s="33" t="s">
        <v>542</v>
      </c>
      <c r="C174" s="50">
        <v>517</v>
      </c>
      <c r="D174" s="34" t="str">
        <f t="array" ref="D174">INDEX('Synergy import (8232022)'!A$1:L$229,MATCH(C174,'Synergy import (8232022)'!D$1:D$229,0),8)</f>
        <v>Nesmith, Stephanie W.</v>
      </c>
      <c r="E174" s="34" t="str">
        <f t="array" ref="E174">INDEX('Synergy import (8232022)'!A$1:L$229,MATCH(C174,'Synergy import (8232022)'!D$1:D$229,0),7)</f>
        <v>Stephanie_W_Nesmith@mcpsmd.org</v>
      </c>
      <c r="F174" s="51" t="s">
        <v>683</v>
      </c>
      <c r="G174" s="52"/>
      <c r="H174" s="36" t="str">
        <f t="array" ref="H174">IF(ISBLANK(I174),"",INDEX('SFSS import'!A$1:F$59,MATCH(I174,'SFSS import'!E$1:E$59,0),3))</f>
        <v/>
      </c>
      <c r="I174" s="52"/>
      <c r="J174" s="36" t="s">
        <v>518</v>
      </c>
      <c r="K174" s="37" t="s">
        <v>519</v>
      </c>
      <c r="L174" s="55"/>
      <c r="M174" s="39"/>
      <c r="N174" s="39"/>
      <c r="O174" s="46"/>
      <c r="P174" s="10"/>
      <c r="Q174" s="39"/>
      <c r="R174" s="49"/>
    </row>
    <row r="175" spans="1:18" ht="12.75">
      <c r="A175" s="33" t="s">
        <v>247</v>
      </c>
      <c r="B175" s="33" t="s">
        <v>543</v>
      </c>
      <c r="C175" s="34">
        <v>778</v>
      </c>
      <c r="D175" s="34" t="str">
        <f t="array" ref="D175">INDEX('Synergy import (8232022)'!A$1:L$229,MATCH(C175,'Synergy import (8232022)'!D$1:D$229,0),8)</f>
        <v>Crable, Peter V.</v>
      </c>
      <c r="E175" s="34" t="str">
        <f t="array" ref="E175">INDEX('Synergy import (8232022)'!A$1:L$229,MATCH(C175,'Synergy import (8232022)'!D$1:D$229,0),7)</f>
        <v>Peter_V_Crable@mcpsmd.org</v>
      </c>
      <c r="F175" s="43" t="s">
        <v>728</v>
      </c>
      <c r="G175" s="44" t="s">
        <v>348</v>
      </c>
      <c r="H175" s="36" t="str">
        <f t="array" aca="1" ref="H175" ca="1">IF(ISBLANK(I175),"",INDEX('SFSS import'!A$1:F$59,MATCH(I175,'SFSS import'!E$1:E$59,0),3))</f>
        <v>Marta Ferman</v>
      </c>
      <c r="I175" s="44" t="s">
        <v>349</v>
      </c>
      <c r="J175" s="36" t="s">
        <v>350</v>
      </c>
      <c r="K175" s="37" t="s">
        <v>351</v>
      </c>
      <c r="L175" s="37" t="s">
        <v>246</v>
      </c>
      <c r="M175" s="39"/>
      <c r="N175" s="39"/>
      <c r="O175" s="46"/>
      <c r="P175" s="10"/>
      <c r="Q175" s="38" t="s">
        <v>729</v>
      </c>
      <c r="R175" s="49"/>
    </row>
    <row r="176" spans="1:18" ht="12.75">
      <c r="A176" s="33" t="s">
        <v>148</v>
      </c>
      <c r="B176" s="33" t="s">
        <v>544</v>
      </c>
      <c r="C176" s="34">
        <v>347</v>
      </c>
      <c r="D176" s="34" t="str">
        <f t="array" ref="D176">INDEX('Synergy import (8232022)'!A$1:L$229,MATCH(C176,'Synergy import (8232022)'!D$1:D$229,0),8)</f>
        <v>Allen, Yolanda R.</v>
      </c>
      <c r="E176" s="34" t="str">
        <f t="array" ref="E176">INDEX('Synergy import (8232022)'!A$1:L$229,MATCH(C176,'Synergy import (8232022)'!D$1:D$229,0),7)</f>
        <v>Yolanda_R_Allen@mcpsmd.org</v>
      </c>
      <c r="F176" s="60" t="s">
        <v>442</v>
      </c>
      <c r="G176" s="52"/>
      <c r="H176" s="36" t="str">
        <f t="array" ref="H176">IF(ISBLANK(I176),"",INDEX('SFSS import'!A$1:F$59,MATCH(I176,'SFSS import'!E$1:E$59,0),3))</f>
        <v/>
      </c>
      <c r="I176" s="52"/>
      <c r="J176" s="36" t="s">
        <v>34</v>
      </c>
      <c r="K176" s="37" t="s">
        <v>35</v>
      </c>
      <c r="L176" s="55"/>
      <c r="M176" s="39"/>
      <c r="N176" s="39"/>
      <c r="O176" s="46"/>
      <c r="P176" s="10"/>
      <c r="Q176" s="39"/>
      <c r="R176" s="49"/>
    </row>
    <row r="177" spans="1:18" ht="12.75">
      <c r="A177" s="33" t="s">
        <v>74</v>
      </c>
      <c r="B177" s="33" t="s">
        <v>545</v>
      </c>
      <c r="C177" s="50">
        <v>405</v>
      </c>
      <c r="D177" s="34" t="str">
        <f t="array" ref="D177">INDEX('Synergy import (8232022)'!A$1:L$229,MATCH(C177,'Synergy import (8232022)'!D$1:D$229,0),8)</f>
        <v>Houston, Cynthia A.</v>
      </c>
      <c r="E177" s="34" t="str">
        <f t="array" ref="E177">INDEX('Synergy import (8232022)'!A$1:L$229,MATCH(C177,'Synergy import (8232022)'!D$1:D$229,0),7)</f>
        <v>Cynthia_A_Houston@mcpsmd.org</v>
      </c>
      <c r="F177" s="51" t="s">
        <v>76</v>
      </c>
      <c r="G177" s="52"/>
      <c r="H177" s="36" t="str">
        <f t="array" ref="H177">IF(ISBLANK(I177),"",INDEX('SFSS import'!A$1:F$59,MATCH(I177,'SFSS import'!E$1:E$59,0),3))</f>
        <v/>
      </c>
      <c r="I177" s="52"/>
      <c r="J177" s="36" t="s">
        <v>79</v>
      </c>
      <c r="K177" s="37" t="s">
        <v>80</v>
      </c>
      <c r="L177" s="55"/>
      <c r="M177" s="39"/>
      <c r="N177" s="39"/>
      <c r="O177" s="46"/>
      <c r="P177" s="10"/>
      <c r="Q177" s="39"/>
      <c r="R177" s="49"/>
    </row>
    <row r="178" spans="1:18" ht="25.5">
      <c r="A178" s="33" t="s">
        <v>429</v>
      </c>
      <c r="B178" s="33" t="s">
        <v>546</v>
      </c>
      <c r="C178" s="50">
        <v>564</v>
      </c>
      <c r="D178" s="34" t="str">
        <f t="array" ref="D178">INDEX('Synergy import (8232022)'!A$1:L$229,MATCH(C178,'Synergy import (8232022)'!D$1:D$229,0),8)</f>
        <v>King, Celeste D.</v>
      </c>
      <c r="E178" s="34" t="str">
        <f t="array" ref="E178">INDEX('Synergy import (8232022)'!A$1:L$229,MATCH(C178,'Synergy import (8232022)'!D$1:D$229,0),7)</f>
        <v>Celeste_King@mcpsmd.org</v>
      </c>
      <c r="F178" s="51" t="s">
        <v>547</v>
      </c>
      <c r="G178" s="44" t="s">
        <v>548</v>
      </c>
      <c r="H178" s="36" t="str">
        <f t="array" aca="1" ref="H178" ca="1">IF(ISBLANK(I178),"",INDEX('SFSS import'!A$1:F$59,MATCH(I178,'SFSS import'!E$1:E$59,0),3))</f>
        <v>Dary Herrera-Jurado</v>
      </c>
      <c r="I178" s="44" t="s">
        <v>432</v>
      </c>
      <c r="J178" s="36" t="s">
        <v>689</v>
      </c>
      <c r="K178" s="37" t="s">
        <v>690</v>
      </c>
      <c r="L178" s="37" t="s">
        <v>365</v>
      </c>
      <c r="M178" s="39"/>
      <c r="N178" s="39"/>
      <c r="O178" s="46"/>
      <c r="P178" s="10"/>
      <c r="Q178" s="39"/>
      <c r="R178" s="49"/>
    </row>
    <row r="179" spans="1:18" ht="12.75">
      <c r="A179" s="33" t="s">
        <v>139</v>
      </c>
      <c r="B179" s="33" t="s">
        <v>549</v>
      </c>
      <c r="C179" s="34">
        <v>798</v>
      </c>
      <c r="D179" s="34" t="str">
        <f t="array" ref="D179">INDEX('Synergy import (8232022)'!A$1:L$229,MATCH(C179,'Synergy import (8232022)'!D$1:D$229,0),8)</f>
        <v>Valentine, Stephanie P.</v>
      </c>
      <c r="E179" s="34" t="str">
        <f t="array" ref="E179">INDEX('Synergy import (8232022)'!A$1:L$229,MATCH(C179,'Synergy import (8232022)'!D$1:D$229,0),7)</f>
        <v>Stephanie_Z_Valentine@mcpsmd.org</v>
      </c>
      <c r="F179" s="60" t="s">
        <v>550</v>
      </c>
      <c r="G179" s="44" t="s">
        <v>358</v>
      </c>
      <c r="H179" s="36" t="str">
        <f t="array" aca="1" ref="H179" ca="1">IF(ISBLANK(I179),"",INDEX('SFSS import'!A$1:F$59,MATCH(I179,'SFSS import'!E$1:E$59,0),3))</f>
        <v>Luz Lambert</v>
      </c>
      <c r="I179" s="44" t="s">
        <v>359</v>
      </c>
      <c r="J179" s="36" t="s">
        <v>363</v>
      </c>
      <c r="K179" s="37" t="s">
        <v>364</v>
      </c>
      <c r="L179" s="55"/>
      <c r="M179" s="38"/>
      <c r="N179" s="38" t="s">
        <v>551</v>
      </c>
      <c r="O179" s="46"/>
      <c r="P179" s="49" t="s">
        <v>730</v>
      </c>
      <c r="Q179" s="38" t="s">
        <v>731</v>
      </c>
      <c r="R179" s="49"/>
    </row>
    <row r="180" spans="1:18" ht="12.75">
      <c r="A180" s="33" t="s">
        <v>429</v>
      </c>
      <c r="B180" s="33" t="s">
        <v>553</v>
      </c>
      <c r="C180" s="34">
        <v>568</v>
      </c>
      <c r="D180" s="34" t="str">
        <f t="array" ref="D180">INDEX('Synergy import (8232022)'!A$1:L$229,MATCH(C180,'Synergy import (8232022)'!D$1:D$229,0),8)</f>
        <v>Zolkower, Galit</v>
      </c>
      <c r="E180" s="34" t="str">
        <f t="array" ref="E180">INDEX('Synergy import (8232022)'!A$1:L$229,MATCH(C180,'Synergy import (8232022)'!D$1:D$229,0),7)</f>
        <v>Galit_Zolkower@mcpsmd.org</v>
      </c>
      <c r="F180" s="43" t="s">
        <v>293</v>
      </c>
      <c r="G180" s="44" t="s">
        <v>321</v>
      </c>
      <c r="H180" s="36" t="str">
        <f t="array" aca="1" ref="H180" ca="1">IF(ISBLANK(I180),"",INDEX('SFSS import'!A$1:F$59,MATCH(I180,'SFSS import'!E$1:E$59,0),3))</f>
        <v>Sandra Woods</v>
      </c>
      <c r="I180" s="44" t="s">
        <v>554</v>
      </c>
      <c r="J180" s="36" t="s">
        <v>151</v>
      </c>
      <c r="K180" s="37" t="s">
        <v>152</v>
      </c>
      <c r="L180" s="55"/>
      <c r="M180" s="39"/>
      <c r="N180" s="39"/>
      <c r="O180" s="57"/>
      <c r="P180" s="49"/>
      <c r="Q180" s="38"/>
      <c r="R180" s="49"/>
    </row>
    <row r="181" spans="1:18" ht="12.75">
      <c r="A181" s="33" t="s">
        <v>89</v>
      </c>
      <c r="B181" s="33" t="s">
        <v>555</v>
      </c>
      <c r="C181" s="50">
        <v>799</v>
      </c>
      <c r="D181" s="34" t="str">
        <f t="array" ref="D181">INDEX('Synergy import (8232022)'!A$1:L$229,MATCH(C181,'Synergy import (8232022)'!D$1:D$229,0),8)</f>
        <v>Brandt, Abby L.</v>
      </c>
      <c r="E181" s="34" t="str">
        <f t="array" ref="E181">INDEX('Synergy import (8232022)'!A$1:L$229,MATCH(C181,'Synergy import (8232022)'!D$1:D$229,0),7)</f>
        <v>Abby_L_Brandt@mcpsmd.org</v>
      </c>
      <c r="F181" s="56" t="s">
        <v>446</v>
      </c>
      <c r="G181" s="52"/>
      <c r="H181" s="36" t="str">
        <f t="array" ref="H181">IF(ISBLANK(I181),"",INDEX('SFSS import'!A$1:F$59,MATCH(I181,'SFSS import'!E$1:E$59,0),3))</f>
        <v/>
      </c>
      <c r="I181" s="52"/>
      <c r="J181" s="36" t="s">
        <v>353</v>
      </c>
      <c r="K181" s="37" t="s">
        <v>354</v>
      </c>
      <c r="L181" s="55"/>
      <c r="M181" s="39"/>
      <c r="N181" s="39"/>
      <c r="O181" s="46"/>
      <c r="P181" s="10"/>
      <c r="Q181" s="39"/>
      <c r="R181" s="49"/>
    </row>
    <row r="182" spans="1:18" ht="25.5">
      <c r="A182" s="33" t="s">
        <v>211</v>
      </c>
      <c r="B182" s="33" t="s">
        <v>556</v>
      </c>
      <c r="C182" s="50">
        <v>653</v>
      </c>
      <c r="D182" s="34" t="str">
        <f t="array" ref="D182">INDEX('Synergy import (8232022)'!A$1:L$229,MATCH(C182,'Synergy import (8232022)'!D$1:D$229,0),8)</f>
        <v>Williams Cascio, Kimberly A.</v>
      </c>
      <c r="E182" s="34" t="str">
        <f t="array" ref="E182">INDEX('Synergy import (8232022)'!A$1:L$229,MATCH(C182,'Synergy import (8232022)'!D$1:D$229,0),7)</f>
        <v>Kimberly_A_Williams@mcpsmd.org</v>
      </c>
      <c r="F182" s="51" t="s">
        <v>668</v>
      </c>
      <c r="G182" s="52"/>
      <c r="H182" s="36" t="str">
        <f t="array" ref="H182">IF(ISBLANK(I182),"",INDEX('SFSS import'!A$1:F$59,MATCH(I182,'SFSS import'!E$1:E$59,0),3))</f>
        <v/>
      </c>
      <c r="I182" s="52"/>
      <c r="J182" s="36" t="s">
        <v>657</v>
      </c>
      <c r="K182" s="37" t="s">
        <v>213</v>
      </c>
      <c r="L182" s="55"/>
      <c r="M182" s="39"/>
      <c r="N182" s="39"/>
      <c r="O182" s="46"/>
      <c r="P182" s="10"/>
      <c r="Q182" s="39"/>
      <c r="R182" s="49"/>
    </row>
    <row r="183" spans="1:18" ht="12.75">
      <c r="A183" s="33" t="s">
        <v>101</v>
      </c>
      <c r="B183" s="33" t="s">
        <v>557</v>
      </c>
      <c r="C183" s="50">
        <v>316</v>
      </c>
      <c r="D183" s="34" t="str">
        <f t="array" ref="D183">INDEX('Synergy import (8232022)'!A$1:L$229,MATCH(C183,'Synergy import (8232022)'!D$1:D$229,0),8)</f>
        <v>Jones, Linda M.</v>
      </c>
      <c r="E183" s="34" t="str">
        <f t="array" ref="E183">INDEX('Synergy import (8232022)'!A$1:L$229,MATCH(C183,'Synergy import (8232022)'!D$1:D$229,0),7)</f>
        <v>Linda_M_Jones@mcpsmd.org</v>
      </c>
      <c r="F183" s="51" t="s">
        <v>648</v>
      </c>
      <c r="G183" s="52"/>
      <c r="H183" s="36" t="str">
        <f t="array" ref="H183">IF(ISBLANK(I183),"",INDEX('SFSS import'!A$1:F$59,MATCH(I183,'SFSS import'!E$1:E$59,0),3))</f>
        <v/>
      </c>
      <c r="I183" s="52"/>
      <c r="J183" s="36" t="s">
        <v>559</v>
      </c>
      <c r="K183" s="37" t="s">
        <v>106</v>
      </c>
      <c r="L183" s="55"/>
      <c r="M183" s="39"/>
      <c r="N183" s="39"/>
      <c r="O183" s="57"/>
      <c r="P183" s="49"/>
      <c r="Q183" s="38"/>
      <c r="R183" s="49"/>
    </row>
    <row r="184" spans="1:18" ht="25.5">
      <c r="A184" s="33" t="s">
        <v>10</v>
      </c>
      <c r="B184" s="33" t="s">
        <v>560</v>
      </c>
      <c r="C184" s="50">
        <v>822</v>
      </c>
      <c r="D184" s="34" t="str">
        <f t="array" ref="D184">INDEX('Synergy import (8232022)'!A$1:L$229,MATCH(C184,'Synergy import (8232022)'!D$1:D$229,0),8)</f>
        <v>Nelson, Tivinia G.</v>
      </c>
      <c r="E184" s="34" t="str">
        <f t="array" ref="E184">INDEX('Synergy import (8232022)'!A$1:L$229,MATCH(C184,'Synergy import (8232022)'!D$1:D$229,0),7)</f>
        <v>Tivinia_G_Nelson@mcpsmd.org</v>
      </c>
      <c r="F184" s="51" t="s">
        <v>62</v>
      </c>
      <c r="G184" s="44" t="s">
        <v>19</v>
      </c>
      <c r="H184" s="36" t="str">
        <f t="array" aca="1" ref="H184" ca="1">IF(ISBLANK(I184),"",INDEX('SFSS import'!A$1:F$59,MATCH(I184,'SFSS import'!E$1:E$59,0),3))</f>
        <v>Kateri Cordova-Orellana</v>
      </c>
      <c r="I184" s="44" t="s">
        <v>20</v>
      </c>
      <c r="J184" s="36" t="s">
        <v>21</v>
      </c>
      <c r="K184" s="37" t="s">
        <v>22</v>
      </c>
      <c r="L184" s="55"/>
      <c r="M184" s="39"/>
      <c r="N184" s="39"/>
      <c r="O184" s="46"/>
      <c r="P184" s="10"/>
      <c r="Q184" s="39"/>
      <c r="R184" s="49"/>
    </row>
    <row r="185" spans="1:18" ht="12.75">
      <c r="A185" s="33" t="s">
        <v>291</v>
      </c>
      <c r="B185" s="33" t="s">
        <v>561</v>
      </c>
      <c r="C185" s="50">
        <v>569</v>
      </c>
      <c r="D185" s="34" t="str">
        <f t="array" ref="D185">INDEX('Synergy import (8232022)'!A$1:L$229,MATCH(C185,'Synergy import (8232022)'!D$1:D$229,0),8)</f>
        <v>Scott, Patrick E.</v>
      </c>
      <c r="E185" s="34" t="str">
        <f t="array" ref="E185">INDEX('Synergy import (8232022)'!A$1:L$229,MATCH(C185,'Synergy import (8232022)'!D$1:D$229,0),7)</f>
        <v>Patrick_E_Scott@mcpsmd.org</v>
      </c>
      <c r="F185" s="56" t="s">
        <v>71</v>
      </c>
      <c r="G185" s="44" t="s">
        <v>562</v>
      </c>
      <c r="H185" s="36" t="str">
        <f t="array" aca="1" ref="H185" ca="1">IF(ISBLANK(I185),"",INDEX('SFSS import'!A$1:F$59,MATCH(I185,'SFSS import'!E$1:E$59,0),3))</f>
        <v>Maribel De La Cruz</v>
      </c>
      <c r="I185" s="44" t="s">
        <v>563</v>
      </c>
      <c r="J185" s="36" t="s">
        <v>672</v>
      </c>
      <c r="K185" s="37" t="s">
        <v>673</v>
      </c>
      <c r="L185" s="55"/>
      <c r="M185" s="59"/>
      <c r="N185" s="59"/>
      <c r="O185" s="46"/>
      <c r="P185" s="10"/>
      <c r="Q185" s="39"/>
      <c r="R185" s="49"/>
    </row>
    <row r="186" spans="1:18" ht="12.75">
      <c r="A186" s="33" t="s">
        <v>291</v>
      </c>
      <c r="B186" s="33" t="s">
        <v>564</v>
      </c>
      <c r="C186" s="34">
        <v>563</v>
      </c>
      <c r="D186" s="34" t="str">
        <f t="array" ref="D186">INDEX('Synergy import (8232022)'!A$1:L$229,MATCH(C186,'Synergy import (8232022)'!D$1:D$229,0),8)</f>
        <v>Henry, Lisa J.</v>
      </c>
      <c r="E186" s="34" t="str">
        <f t="array" ref="E186">INDEX('Synergy import (8232022)'!A$1:L$229,MATCH(C186,'Synergy import (8232022)'!D$1:D$229,0),7)</f>
        <v>Lisa_J_Henry@mcpsmd.org</v>
      </c>
      <c r="F186" s="43" t="s">
        <v>215</v>
      </c>
      <c r="G186" s="44" t="s">
        <v>562</v>
      </c>
      <c r="H186" s="36" t="str">
        <f t="array" aca="1" ref="H186" ca="1">IF(ISBLANK(I186),"",INDEX('SFSS import'!A$1:F$59,MATCH(I186,'SFSS import'!E$1:E$59,0),3))</f>
        <v>Maribel De La Cruz</v>
      </c>
      <c r="I186" s="44" t="s">
        <v>563</v>
      </c>
      <c r="J186" s="36" t="s">
        <v>672</v>
      </c>
      <c r="K186" s="37" t="s">
        <v>673</v>
      </c>
      <c r="L186" s="37" t="s">
        <v>504</v>
      </c>
      <c r="M186" s="39"/>
      <c r="N186" s="39"/>
      <c r="O186" s="46"/>
      <c r="P186" s="10"/>
      <c r="Q186" s="39"/>
      <c r="R186" s="49"/>
    </row>
    <row r="187" spans="1:18" ht="12.75">
      <c r="A187" s="33" t="s">
        <v>92</v>
      </c>
      <c r="B187" s="33" t="s">
        <v>565</v>
      </c>
      <c r="C187" s="50">
        <v>754</v>
      </c>
      <c r="D187" s="34" t="str">
        <f t="array" ref="D187">INDEX('Synergy import (8232022)'!A$1:L$229,MATCH(C187,'Synergy import (8232022)'!D$1:D$229,0),8)</f>
        <v>Gadsden, Zadia T.</v>
      </c>
      <c r="E187" s="34" t="str">
        <f t="array" ref="E187">INDEX('Synergy import (8232022)'!A$1:L$229,MATCH(C187,'Synergy import (8232022)'!D$1:D$229,0),7)</f>
        <v>Zadia_T_Gadsden@mcpsmd.org</v>
      </c>
      <c r="F187" s="51" t="s">
        <v>480</v>
      </c>
      <c r="G187" s="44" t="s">
        <v>95</v>
      </c>
      <c r="H187" s="36" t="str">
        <f t="array" aca="1" ref="H187" ca="1">IF(ISBLANK(I187),"",INDEX('SFSS import'!A$1:F$59,MATCH(I187,'SFSS import'!E$1:E$59,0),3))</f>
        <v>Farzaneh Nabavian</v>
      </c>
      <c r="I187" s="44" t="s">
        <v>96</v>
      </c>
      <c r="J187" s="36" t="s">
        <v>239</v>
      </c>
      <c r="K187" s="37" t="s">
        <v>240</v>
      </c>
      <c r="L187" s="55"/>
      <c r="M187" s="39"/>
      <c r="N187" s="39"/>
      <c r="O187" s="46"/>
      <c r="P187" s="10"/>
      <c r="Q187" s="39"/>
      <c r="R187" s="49"/>
    </row>
    <row r="188" spans="1:18" ht="12.75">
      <c r="A188" s="33" t="s">
        <v>92</v>
      </c>
      <c r="B188" s="33" t="s">
        <v>566</v>
      </c>
      <c r="C188" s="34">
        <v>755</v>
      </c>
      <c r="D188" s="34" t="str">
        <f t="array" ref="D188">INDEX('Synergy import (8232022)'!A$1:L$229,MATCH(C188,'Synergy import (8232022)'!D$1:D$229,0),8)</f>
        <v>Martin, Erin L.</v>
      </c>
      <c r="E188" s="34" t="str">
        <f t="array" ref="E188">INDEX('Synergy import (8232022)'!A$1:L$229,MATCH(C188,'Synergy import (8232022)'!D$1:D$229,0),7)</f>
        <v>Erin_L_Martin@mcpsmd.org</v>
      </c>
      <c r="F188" s="60" t="s">
        <v>661</v>
      </c>
      <c r="G188" s="44" t="s">
        <v>95</v>
      </c>
      <c r="H188" s="36" t="str">
        <f t="array" aca="1" ref="H188" ca="1">IF(ISBLANK(I188),"",INDEX('SFSS import'!A$1:F$59,MATCH(I188,'SFSS import'!E$1:E$59,0),3))</f>
        <v>Farzaneh Nabavian</v>
      </c>
      <c r="I188" s="44" t="s">
        <v>96</v>
      </c>
      <c r="J188" s="36" t="s">
        <v>239</v>
      </c>
      <c r="K188" s="37" t="s">
        <v>240</v>
      </c>
      <c r="L188" s="84"/>
      <c r="M188" s="39"/>
      <c r="N188" s="39"/>
      <c r="O188" s="46"/>
      <c r="P188" s="10"/>
      <c r="Q188" s="38" t="s">
        <v>732</v>
      </c>
      <c r="R188" s="49"/>
    </row>
    <row r="189" spans="1:18" ht="25.5">
      <c r="A189" s="33" t="s">
        <v>89</v>
      </c>
      <c r="B189" s="33" t="s">
        <v>567</v>
      </c>
      <c r="C189" s="50">
        <v>748</v>
      </c>
      <c r="D189" s="34" t="str">
        <f t="array" ref="D189">INDEX('Synergy import (8232022)'!A$1:L$229,MATCH(C189,'Synergy import (8232022)'!D$1:D$229,0),8)</f>
        <v>Carias, Heather B.</v>
      </c>
      <c r="E189" s="34" t="str">
        <f t="array" ref="E189">INDEX('Synergy import (8232022)'!A$1:L$229,MATCH(C189,'Synergy import (8232022)'!D$1:D$229,0),7)</f>
        <v>Heather_B_Carias@mcpsmd.org</v>
      </c>
      <c r="F189" s="56" t="s">
        <v>217</v>
      </c>
      <c r="G189" s="44" t="s">
        <v>663</v>
      </c>
      <c r="H189" s="36" t="str">
        <f t="array" aca="1" ref="H189" ca="1">IF(ISBLANK(I189),"",INDEX('SFSS import'!A$1:F$59,MATCH(I189,'SFSS import'!E$1:E$59,0),3))</f>
        <v>Pablo Molina Chemali</v>
      </c>
      <c r="I189" s="44" t="s">
        <v>568</v>
      </c>
      <c r="J189" s="85" t="s">
        <v>217</v>
      </c>
      <c r="K189" s="86"/>
      <c r="L189" s="84"/>
      <c r="M189" s="38"/>
      <c r="N189" s="38" t="s">
        <v>569</v>
      </c>
      <c r="O189" s="46"/>
      <c r="P189" s="49" t="s">
        <v>570</v>
      </c>
      <c r="Q189" s="38" t="s">
        <v>733</v>
      </c>
      <c r="R189" s="49"/>
    </row>
    <row r="190" spans="1:18" ht="12.75">
      <c r="A190" s="33" t="s">
        <v>25</v>
      </c>
      <c r="B190" s="33" t="s">
        <v>571</v>
      </c>
      <c r="C190" s="50">
        <v>232</v>
      </c>
      <c r="D190" s="34" t="str">
        <f t="array" ref="D190">INDEX('Synergy import (8232022)'!A$1:L$229,MATCH(C190,'Synergy import (8232022)'!D$1:D$229,0),8)</f>
        <v>Hopkins, Sapna</v>
      </c>
      <c r="E190" s="34" t="str">
        <f t="array" ref="E190">INDEX('Synergy import (8232022)'!A$1:L$229,MATCH(C190,'Synergy import (8232022)'!D$1:D$229,0),7)</f>
        <v>Sapna_Hopkins@mcpsmd.org</v>
      </c>
      <c r="F190" s="56" t="s">
        <v>266</v>
      </c>
      <c r="G190" s="52"/>
      <c r="H190" s="36" t="str">
        <f t="array" ref="H190">IF(ISBLANK(I190),"",INDEX('SFSS import'!A$1:F$59,MATCH(I190,'SFSS import'!E$1:E$59,0),3))</f>
        <v/>
      </c>
      <c r="I190" s="52"/>
      <c r="J190" s="36" t="s">
        <v>314</v>
      </c>
      <c r="K190" s="37" t="s">
        <v>315</v>
      </c>
      <c r="L190" s="37" t="s">
        <v>681</v>
      </c>
      <c r="M190" s="39"/>
      <c r="N190" s="39"/>
      <c r="O190" s="46"/>
      <c r="P190" s="10"/>
      <c r="Q190" s="38" t="s">
        <v>734</v>
      </c>
      <c r="R190" s="49"/>
    </row>
    <row r="191" spans="1:18" ht="25.5">
      <c r="A191" s="33" t="s">
        <v>211</v>
      </c>
      <c r="B191" s="33" t="s">
        <v>572</v>
      </c>
      <c r="C191" s="50">
        <v>216</v>
      </c>
      <c r="D191" s="34" t="str">
        <f t="array" ref="D191">INDEX('Synergy import (8232022)'!A$1:L$229,MATCH(C191,'Synergy import (8232022)'!D$1:D$229,0),8)</f>
        <v>Wade, Karin M.</v>
      </c>
      <c r="E191" s="34" t="str">
        <f t="array" ref="E191">INDEX('Synergy import (8232022)'!A$1:L$229,MATCH(C191,'Synergy import (8232022)'!D$1:D$229,0),7)</f>
        <v>Karin_M_Wade@mcpsmd.org</v>
      </c>
      <c r="F191" s="56" t="s">
        <v>573</v>
      </c>
      <c r="G191" s="52"/>
      <c r="H191" s="36" t="str">
        <f t="array" ref="H191">IF(ISBLANK(I191),"",INDEX('SFSS import'!A$1:F$59,MATCH(I191,'SFSS import'!E$1:E$59,0),3))</f>
        <v/>
      </c>
      <c r="I191" s="52"/>
      <c r="J191" s="36" t="s">
        <v>657</v>
      </c>
      <c r="K191" s="37" t="s">
        <v>213</v>
      </c>
      <c r="L191" s="55"/>
      <c r="M191" s="39"/>
      <c r="N191" s="39"/>
      <c r="O191" s="57"/>
      <c r="P191" s="49"/>
      <c r="Q191" s="38"/>
      <c r="R191" s="49"/>
    </row>
    <row r="192" spans="1:18" ht="12.75">
      <c r="A192" s="33" t="s">
        <v>291</v>
      </c>
      <c r="B192" s="87" t="s">
        <v>735</v>
      </c>
      <c r="C192" s="34">
        <v>580</v>
      </c>
      <c r="D192" s="34" t="str">
        <f t="array" ref="D192">INDEX('Synergy import (8232022)'!A$1:L$229,MATCH(C192,'Synergy import (8232022)'!D$1:D$229,0),8)</f>
        <v>Griffith, Cavena J.</v>
      </c>
      <c r="E192" s="34" t="str">
        <f t="array" ref="E192">INDEX('Synergy import (8232022)'!A$1:L$229,MATCH(C192,'Synergy import (8232022)'!D$1:D$229,0),7)</f>
        <v>Cavena_J_Griffith@mcpsmd.org</v>
      </c>
      <c r="F192" s="43" t="s">
        <v>503</v>
      </c>
      <c r="G192" s="44" t="s">
        <v>333</v>
      </c>
      <c r="H192" s="36" t="str">
        <f t="array" aca="1" ref="H192" ca="1">IF(ISBLANK(I192),"",INDEX('SFSS import'!A$1:F$59,MATCH(I192,'SFSS import'!E$1:E$59,0),3))</f>
        <v>Ree-Ree Burke</v>
      </c>
      <c r="I192" s="44" t="s">
        <v>334</v>
      </c>
      <c r="J192" s="36" t="s">
        <v>302</v>
      </c>
      <c r="K192" s="37" t="s">
        <v>303</v>
      </c>
      <c r="L192" s="37" t="s">
        <v>575</v>
      </c>
      <c r="M192" s="39"/>
      <c r="N192" s="39"/>
      <c r="O192" s="46"/>
      <c r="P192" s="10"/>
      <c r="Q192" s="39"/>
      <c r="R192" s="49"/>
    </row>
    <row r="193" spans="1:18" ht="12.75">
      <c r="A193" s="33" t="s">
        <v>52</v>
      </c>
      <c r="B193" s="33" t="s">
        <v>576</v>
      </c>
      <c r="C193" s="34">
        <v>206</v>
      </c>
      <c r="D193" s="34" t="str">
        <f t="array" ref="D193">INDEX('Synergy import (8232022)'!A$1:L$229,MATCH(C193,'Synergy import (8232022)'!D$1:D$229,0),8)</f>
        <v>Devan, Matthew A.</v>
      </c>
      <c r="E193" s="34" t="str">
        <f t="array" ref="E193">INDEX('Synergy import (8232022)'!A$1:L$229,MATCH(C193,'Synergy import (8232022)'!D$1:D$229,0),7)</f>
        <v>Matthew_A_Devan@mcpsmd.org</v>
      </c>
      <c r="F193" s="60" t="s">
        <v>540</v>
      </c>
      <c r="G193" s="44" t="s">
        <v>438</v>
      </c>
      <c r="H193" s="36" t="str">
        <f t="array" aca="1" ref="H193" ca="1">IF(ISBLANK(I193),"",INDEX('SFSS import'!A$1:F$59,MATCH(I193,'SFSS import'!E$1:E$59,0),3))</f>
        <v>Gonzalo Quiroga</v>
      </c>
      <c r="I193" s="44" t="s">
        <v>439</v>
      </c>
      <c r="J193" s="36" t="s">
        <v>59</v>
      </c>
      <c r="K193" s="37" t="s">
        <v>60</v>
      </c>
      <c r="L193" s="37" t="s">
        <v>467</v>
      </c>
      <c r="M193" s="39"/>
      <c r="N193" s="39"/>
      <c r="O193" s="46"/>
      <c r="P193" s="10"/>
      <c r="Q193" s="39"/>
      <c r="R193" s="49"/>
    </row>
    <row r="194" spans="1:18" ht="12.75">
      <c r="A194" s="33" t="s">
        <v>122</v>
      </c>
      <c r="B194" s="33" t="s">
        <v>577</v>
      </c>
      <c r="C194" s="34">
        <v>772</v>
      </c>
      <c r="D194" s="34" t="str">
        <f t="array" ref="D194">INDEX('Synergy import (8232022)'!A$1:L$229,MATCH(C194,'Synergy import (8232022)'!D$1:D$229,0),8)</f>
        <v>Hawkins, Matthew D.</v>
      </c>
      <c r="E194" s="34" t="str">
        <f t="array" ref="E194">INDEX('Synergy import (8232022)'!A$1:L$229,MATCH(C194,'Synergy import (8232022)'!D$1:D$229,0),7)</f>
        <v>Matthew_D_Hawkins@mcpsmd.org</v>
      </c>
      <c r="F194" s="43" t="s">
        <v>736</v>
      </c>
      <c r="G194" s="44" t="s">
        <v>209</v>
      </c>
      <c r="H194" s="36" t="str">
        <f t="array" aca="1" ref="H194" ca="1">IF(ISBLANK(I194),"",INDEX('SFSS import'!A$1:F$59,MATCH(I194,'SFSS import'!E$1:E$59,0),3))</f>
        <v>Zoe D'Eugenio Pinel</v>
      </c>
      <c r="I194" s="44" t="s">
        <v>210</v>
      </c>
      <c r="J194" s="36" t="s">
        <v>327</v>
      </c>
      <c r="K194" s="37" t="s">
        <v>328</v>
      </c>
      <c r="L194" s="37" t="s">
        <v>537</v>
      </c>
      <c r="M194" s="39"/>
      <c r="N194" s="39"/>
      <c r="O194" s="46"/>
      <c r="P194" s="10"/>
      <c r="Q194" s="39"/>
      <c r="R194" s="49"/>
    </row>
    <row r="195" spans="1:18" ht="25.5">
      <c r="A195" s="33" t="s">
        <v>291</v>
      </c>
      <c r="B195" s="33" t="s">
        <v>579</v>
      </c>
      <c r="C195" s="50">
        <v>552</v>
      </c>
      <c r="D195" s="34" t="str">
        <f t="array" ref="D195">INDEX('Synergy import (8232022)'!A$1:L$229,MATCH(C195,'Synergy import (8232022)'!D$1:D$229,0),8)</f>
        <v>Alonso, Amy J.</v>
      </c>
      <c r="E195" s="34" t="str">
        <f t="array" ref="E195">INDEX('Synergy import (8232022)'!A$1:L$229,MATCH(C195,'Synergy import (8232022)'!D$1:D$229,0),7)</f>
        <v>Amy_J_Alonso@mcpsmd.org</v>
      </c>
      <c r="F195" s="51" t="s">
        <v>580</v>
      </c>
      <c r="G195" s="44" t="s">
        <v>276</v>
      </c>
      <c r="H195" s="36" t="str">
        <f t="array" aca="1" ref="H195" ca="1">IF(ISBLANK(I195),"",INDEX('SFSS import'!A$1:F$59,MATCH(I195,'SFSS import'!E$1:E$59,0),3))</f>
        <v>Magda Sobalvarro-Ochoa</v>
      </c>
      <c r="I195" s="44" t="s">
        <v>277</v>
      </c>
      <c r="J195" s="36" t="s">
        <v>672</v>
      </c>
      <c r="K195" s="37" t="s">
        <v>673</v>
      </c>
      <c r="L195" s="84"/>
      <c r="M195" s="39"/>
      <c r="N195" s="39"/>
      <c r="O195" s="46"/>
      <c r="P195" s="10"/>
      <c r="Q195" s="39"/>
      <c r="R195" s="49"/>
    </row>
    <row r="196" spans="1:18" ht="12.75">
      <c r="A196" s="33" t="s">
        <v>383</v>
      </c>
      <c r="B196" s="33" t="s">
        <v>581</v>
      </c>
      <c r="C196" s="50">
        <v>109</v>
      </c>
      <c r="D196" s="34" t="str">
        <f t="array" ref="D196">INDEX('Synergy import (8232022)'!A$1:L$229,MATCH(C196,'Synergy import (8232022)'!D$1:D$229,0),8)</f>
        <v>Hammond, M Deneise</v>
      </c>
      <c r="E196" s="34" t="str">
        <f t="array" ref="E196">INDEX('Synergy import (8232022)'!A$1:L$229,MATCH(C196,'Synergy import (8232022)'!D$1:D$229,0),7)</f>
        <v>MDeneise_Hammond@mcpsmd.org</v>
      </c>
      <c r="F196" s="51" t="s">
        <v>156</v>
      </c>
      <c r="G196" s="44" t="s">
        <v>204</v>
      </c>
      <c r="H196" s="36" t="str">
        <f t="array" aca="1" ref="H196" ca="1">IF(ISBLANK(I196),"",INDEX('SFSS import'!A$1:F$59,MATCH(I196,'SFSS import'!E$1:E$59,0),3))</f>
        <v>Shanique Moore</v>
      </c>
      <c r="I196" s="44" t="s">
        <v>205</v>
      </c>
      <c r="J196" s="36" t="s">
        <v>387</v>
      </c>
      <c r="K196" s="37" t="s">
        <v>388</v>
      </c>
      <c r="L196" s="55"/>
      <c r="M196" s="39"/>
      <c r="N196" s="39"/>
      <c r="O196" s="57"/>
      <c r="P196" s="49"/>
      <c r="Q196" s="38"/>
      <c r="R196" s="49"/>
    </row>
    <row r="197" spans="1:18" ht="12.75">
      <c r="A197" s="33" t="s">
        <v>429</v>
      </c>
      <c r="B197" s="33" t="s">
        <v>582</v>
      </c>
      <c r="C197" s="50">
        <v>561</v>
      </c>
      <c r="D197" s="34" t="str">
        <f t="array" ref="D197">INDEX('Synergy import (8232022)'!A$1:L$229,MATCH(C197,'Synergy import (8232022)'!D$1:D$229,0),8)</f>
        <v>Simon, Brooke L.</v>
      </c>
      <c r="E197" s="34" t="str">
        <f t="array" ref="E197">INDEX('Synergy import (8232022)'!A$1:L$229,MATCH(C197,'Synergy import (8232022)'!D$1:D$229,0),7)</f>
        <v>Brooke_L_Simon@mcpsmd.org</v>
      </c>
      <c r="F197" s="51" t="s">
        <v>649</v>
      </c>
      <c r="G197" s="44" t="s">
        <v>548</v>
      </c>
      <c r="H197" s="36" t="str">
        <f t="array" aca="1" ref="H197" ca="1">IF(ISBLANK(I197),"",INDEX('SFSS import'!A$1:F$59,MATCH(I197,'SFSS import'!E$1:E$59,0),3))</f>
        <v>Dary Herrera-Jurado</v>
      </c>
      <c r="I197" s="44" t="s">
        <v>432</v>
      </c>
      <c r="J197" s="36" t="s">
        <v>433</v>
      </c>
      <c r="K197" s="37" t="s">
        <v>434</v>
      </c>
      <c r="L197" s="37" t="s">
        <v>394</v>
      </c>
      <c r="M197" s="59"/>
      <c r="N197" s="59"/>
      <c r="O197" s="46"/>
      <c r="P197" s="10"/>
      <c r="Q197" s="39"/>
      <c r="R197" s="49"/>
    </row>
    <row r="198" spans="1:18" ht="12.75">
      <c r="A198" s="33" t="s">
        <v>429</v>
      </c>
      <c r="B198" s="33" t="s">
        <v>583</v>
      </c>
      <c r="C198" s="34">
        <v>545</v>
      </c>
      <c r="D198" s="34" t="str">
        <f t="array" ref="D198">INDEX('Synergy import (8232022)'!A$1:L$229,MATCH(C198,'Synergy import (8232022)'!D$1:D$229,0),8)</f>
        <v>Goddard, Carol L.</v>
      </c>
      <c r="E198" s="34" t="str">
        <f t="array" ref="E198">INDEX('Synergy import (8232022)'!A$1:L$229,MATCH(C198,'Synergy import (8232022)'!D$1:D$229,0),7)</f>
        <v>Carol_L_Goddard@mcpsmd.org</v>
      </c>
      <c r="F198" s="43" t="s">
        <v>737</v>
      </c>
      <c r="G198" s="44" t="s">
        <v>321</v>
      </c>
      <c r="H198" s="36" t="str">
        <f t="array" aca="1" ref="H198" ca="1">IF(ISBLANK(I198),"",INDEX('SFSS import'!A$1:F$59,MATCH(I198,'SFSS import'!E$1:E$59,0),3))</f>
        <v>Sandra Woods</v>
      </c>
      <c r="I198" s="44" t="s">
        <v>554</v>
      </c>
      <c r="J198" s="36" t="s">
        <v>585</v>
      </c>
      <c r="K198" s="37" t="s">
        <v>586</v>
      </c>
      <c r="L198" s="55"/>
      <c r="M198" s="38"/>
      <c r="N198" s="38" t="s">
        <v>587</v>
      </c>
      <c r="O198" s="57"/>
      <c r="P198" s="49" t="s">
        <v>588</v>
      </c>
      <c r="Q198" s="38" t="s">
        <v>738</v>
      </c>
      <c r="R198" s="49"/>
    </row>
    <row r="199" spans="1:18" ht="12.75">
      <c r="A199" s="33" t="s">
        <v>65</v>
      </c>
      <c r="B199" s="33" t="s">
        <v>589</v>
      </c>
      <c r="C199" s="50">
        <v>235</v>
      </c>
      <c r="D199" s="34" t="str">
        <f t="array" ref="D199">INDEX('Synergy import (8232022)'!A$1:L$229,MATCH(C199,'Synergy import (8232022)'!D$1:D$229,0),8)</f>
        <v>Hill, Holly A.</v>
      </c>
      <c r="E199" s="34" t="str">
        <f t="array" ref="E199">INDEX('Synergy import (8232022)'!A$1:L$229,MATCH(C199,'Synergy import (8232022)'!D$1:D$229,0),7)</f>
        <v>Holly_A_Hill@mcpsmd.org</v>
      </c>
      <c r="F199" s="56" t="s">
        <v>409</v>
      </c>
      <c r="G199" s="52"/>
      <c r="H199" s="36" t="str">
        <f t="array" ref="H199">IF(ISBLANK(I199),"",INDEX('SFSS import'!A$1:F$59,MATCH(I199,'SFSS import'!E$1:E$59,0),3))</f>
        <v/>
      </c>
      <c r="I199" s="52"/>
      <c r="J199" s="36" t="s">
        <v>87</v>
      </c>
      <c r="K199" s="37" t="s">
        <v>88</v>
      </c>
      <c r="L199" s="55"/>
      <c r="M199" s="39"/>
      <c r="N199" s="39"/>
      <c r="O199" s="46"/>
      <c r="P199" s="10"/>
      <c r="Q199" s="39"/>
      <c r="R199" s="49"/>
    </row>
    <row r="200" spans="1:18" ht="12.75">
      <c r="A200" s="33" t="s">
        <v>122</v>
      </c>
      <c r="B200" s="33" t="s">
        <v>590</v>
      </c>
      <c r="C200" s="34">
        <v>777</v>
      </c>
      <c r="D200" s="34" t="str">
        <f t="array" ref="D200">INDEX('Synergy import (8232022)'!A$1:L$229,MATCH(C200,'Synergy import (8232022)'!D$1:D$229,0),8)</f>
        <v>Mascott, Brent T.</v>
      </c>
      <c r="E200" s="34" t="str">
        <f t="array" ref="E200">INDEX('Synergy import (8232022)'!A$1:L$229,MATCH(C200,'Synergy import (8232022)'!D$1:D$229,0),7)</f>
        <v>Brent_T_Mascott@mcpsmd.org</v>
      </c>
      <c r="F200" s="60" t="s">
        <v>578</v>
      </c>
      <c r="G200" s="44" t="s">
        <v>535</v>
      </c>
      <c r="H200" s="36" t="str">
        <f t="array" aca="1" ref="H200" ca="1">IF(ISBLANK(I200),"",INDEX('SFSS import'!A$1:F$59,MATCH(I200,'SFSS import'!E$1:E$59,0),3))</f>
        <v>Abebe Kassaye</v>
      </c>
      <c r="I200" s="44" t="s">
        <v>536</v>
      </c>
      <c r="J200" s="36" t="s">
        <v>345</v>
      </c>
      <c r="K200" s="37" t="s">
        <v>346</v>
      </c>
      <c r="L200" s="37" t="s">
        <v>81</v>
      </c>
      <c r="M200" s="39"/>
      <c r="N200" s="39"/>
      <c r="O200" s="46"/>
      <c r="P200" s="10"/>
      <c r="Q200" s="39"/>
      <c r="R200" s="49"/>
    </row>
    <row r="201" spans="1:18" ht="12.75">
      <c r="A201" s="33" t="s">
        <v>148</v>
      </c>
      <c r="B201" s="33" t="s">
        <v>591</v>
      </c>
      <c r="C201" s="34">
        <v>345</v>
      </c>
      <c r="D201" s="34" t="str">
        <f t="array" ref="D201">INDEX('Synergy import (8232022)'!A$1:L$229,MATCH(C201,'Synergy import (8232022)'!D$1:D$229,0),8)</f>
        <v>Woodward, Barbara A.</v>
      </c>
      <c r="E201" s="34" t="str">
        <f t="array" ref="E201">INDEX('Synergy import (8232022)'!A$1:L$229,MATCH(C201,'Synergy import (8232022)'!D$1:D$229,0),7)</f>
        <v>Barbara_A_Woodward@mcpsmd.org</v>
      </c>
      <c r="F201" s="43" t="s">
        <v>649</v>
      </c>
      <c r="G201" s="52"/>
      <c r="H201" s="36" t="str">
        <f t="array" ref="H201">IF(ISBLANK(I201),"",INDEX('SFSS import'!A$1:F$59,MATCH(I201,'SFSS import'!E$1:E$59,0),3))</f>
        <v/>
      </c>
      <c r="I201" s="52"/>
      <c r="J201" s="36" t="s">
        <v>34</v>
      </c>
      <c r="K201" s="37" t="s">
        <v>35</v>
      </c>
      <c r="L201" s="55"/>
      <c r="M201" s="39"/>
      <c r="N201" s="39"/>
      <c r="O201" s="46"/>
      <c r="P201" s="10"/>
      <c r="Q201" s="38" t="s">
        <v>739</v>
      </c>
      <c r="R201" s="49"/>
    </row>
    <row r="202" spans="1:18" ht="38.25">
      <c r="A202" s="33" t="s">
        <v>52</v>
      </c>
      <c r="B202" s="33" t="s">
        <v>740</v>
      </c>
      <c r="C202" s="50">
        <v>211</v>
      </c>
      <c r="D202" s="34" t="str">
        <f t="array" ref="D202">INDEX('Synergy import (8232022)'!A$1:L$229,MATCH(C202,'Synergy import (8232022)'!D$1:D$229,0),8)</f>
        <v>Staton, Craig W.</v>
      </c>
      <c r="E202" s="34" t="str">
        <f t="array" ref="E202">INDEX('Synergy import (8232022)'!A$1:L$229,MATCH(C202,'Synergy import (8232022)'!D$1:D$229,0),7)</f>
        <v>Craig_Staton@mcpsmd.org</v>
      </c>
      <c r="F202" s="51" t="s">
        <v>741</v>
      </c>
      <c r="G202" s="44" t="s">
        <v>438</v>
      </c>
      <c r="H202" s="36" t="str">
        <f t="array" aca="1" ref="H202" ca="1">IF(ISBLANK(I202),"",INDEX('SFSS import'!A$1:F$59,MATCH(I202,'SFSS import'!E$1:E$59,0),3))</f>
        <v>Gonzalo Quiroga</v>
      </c>
      <c r="I202" s="44" t="s">
        <v>439</v>
      </c>
      <c r="J202" s="36" t="s">
        <v>636</v>
      </c>
      <c r="K202" s="37" t="s">
        <v>637</v>
      </c>
      <c r="L202" s="37" t="s">
        <v>444</v>
      </c>
      <c r="M202" s="39"/>
      <c r="N202" s="39"/>
      <c r="O202" s="46"/>
      <c r="P202" s="10"/>
      <c r="Q202" s="38" t="s">
        <v>742</v>
      </c>
      <c r="R202" s="49"/>
    </row>
    <row r="203" spans="1:18" ht="12.75">
      <c r="A203" s="33" t="s">
        <v>74</v>
      </c>
      <c r="B203" s="33" t="s">
        <v>593</v>
      </c>
      <c r="C203" s="50">
        <v>408</v>
      </c>
      <c r="D203" s="34" t="str">
        <f t="array" ref="D203">INDEX('Synergy import (8232022)'!A$1:L$229,MATCH(C203,'Synergy import (8232022)'!D$1:D$229,0),8)</f>
        <v>Cox, Karen M.</v>
      </c>
      <c r="E203" s="34" t="str">
        <f t="array" ref="E203">INDEX('Synergy import (8232022)'!A$1:L$229,MATCH(C203,'Synergy import (8232022)'!D$1:D$229,0),7)</f>
        <v>Karen_M_Cox@mcpsmd.org</v>
      </c>
      <c r="F203" s="51" t="s">
        <v>450</v>
      </c>
      <c r="G203" s="52"/>
      <c r="H203" s="36" t="str">
        <f t="array" ref="H203">IF(ISBLANK(I203),"",INDEX('SFSS import'!A$1:F$59,MATCH(I203,'SFSS import'!E$1:E$59,0),3))</f>
        <v/>
      </c>
      <c r="I203" s="52"/>
      <c r="J203" s="36" t="s">
        <v>79</v>
      </c>
      <c r="K203" s="37" t="s">
        <v>80</v>
      </c>
      <c r="L203" s="55"/>
      <c r="M203" s="39"/>
      <c r="N203" s="39"/>
      <c r="O203" s="46"/>
      <c r="P203" s="10"/>
      <c r="Q203" s="39"/>
      <c r="R203" s="49"/>
    </row>
    <row r="204" spans="1:18" ht="12.75">
      <c r="A204" s="33" t="s">
        <v>74</v>
      </c>
      <c r="B204" s="33" t="s">
        <v>594</v>
      </c>
      <c r="C204" s="34">
        <v>412</v>
      </c>
      <c r="D204" s="34" t="str">
        <f t="array" ref="D204">INDEX('Synergy import (8232022)'!A$1:L$229,MATCH(C204,'Synergy import (8232022)'!D$1:D$229,0),8)</f>
        <v>Serino, Alison L.</v>
      </c>
      <c r="E204" s="34" t="str">
        <f t="array" ref="E204">INDEX('Synergy import (8232022)'!A$1:L$229,MATCH(C204,'Synergy import (8232022)'!D$1:D$229,0),7)</f>
        <v>Alison_L_Serino@mcpsmd.org</v>
      </c>
      <c r="F204" s="60" t="s">
        <v>595</v>
      </c>
      <c r="G204" s="52"/>
      <c r="H204" s="36" t="str">
        <f t="array" ref="H204">IF(ISBLANK(I204),"",INDEX('SFSS import'!A$1:F$59,MATCH(I204,'SFSS import'!E$1:E$59,0),3))</f>
        <v/>
      </c>
      <c r="I204" s="52"/>
      <c r="J204" s="36" t="s">
        <v>640</v>
      </c>
      <c r="K204" s="37" t="s">
        <v>641</v>
      </c>
      <c r="L204" s="55"/>
      <c r="M204" s="39"/>
      <c r="N204" s="39"/>
      <c r="O204" s="57"/>
      <c r="P204" s="49"/>
      <c r="Q204" s="38" t="s">
        <v>743</v>
      </c>
      <c r="R204" s="49"/>
    </row>
    <row r="205" spans="1:18" ht="12.75">
      <c r="A205" s="33" t="s">
        <v>139</v>
      </c>
      <c r="B205" s="33" t="s">
        <v>596</v>
      </c>
      <c r="C205" s="50">
        <v>504</v>
      </c>
      <c r="D205" s="34" t="str">
        <f t="array" ref="D205">INDEX('Synergy import (8232022)'!A$1:L$229,MATCH(C205,'Synergy import (8232022)'!D$1:D$229,0),8)</f>
        <v>Wilson, Audra M.</v>
      </c>
      <c r="E205" s="34" t="str">
        <f t="array" ref="E205">INDEX('Synergy import (8232022)'!A$1:L$229,MATCH(C205,'Synergy import (8232022)'!D$1:D$229,0),7)</f>
        <v>Audra_M_Wilson@mcpsmd.org</v>
      </c>
      <c r="F205" s="51" t="s">
        <v>38</v>
      </c>
      <c r="G205" s="44" t="s">
        <v>358</v>
      </c>
      <c r="H205" s="36" t="str">
        <f t="array" aca="1" ref="H205" ca="1">IF(ISBLANK(I205),"",INDEX('SFSS import'!A$1:F$59,MATCH(I205,'SFSS import'!E$1:E$59,0),3))</f>
        <v>Luz Lambert</v>
      </c>
      <c r="I205" s="44" t="s">
        <v>359</v>
      </c>
      <c r="J205" s="36" t="s">
        <v>363</v>
      </c>
      <c r="K205" s="37" t="s">
        <v>364</v>
      </c>
      <c r="L205" s="55"/>
      <c r="M205" s="39"/>
      <c r="N205" s="39"/>
      <c r="O205" s="46"/>
      <c r="P205" s="10"/>
      <c r="Q205" s="39"/>
      <c r="R205" s="49"/>
    </row>
    <row r="206" spans="1:18" ht="12.75">
      <c r="A206" s="33" t="s">
        <v>122</v>
      </c>
      <c r="B206" s="33" t="s">
        <v>597</v>
      </c>
      <c r="C206" s="34">
        <v>782</v>
      </c>
      <c r="D206" s="34" t="str">
        <f t="array" ref="D206">INDEX('Synergy import (8232022)'!A$1:L$229,MATCH(C206,'Synergy import (8232022)'!D$1:D$229,0),8)</f>
        <v>Munsey, Joshua H.</v>
      </c>
      <c r="E206" s="34" t="str">
        <f t="array" ref="E206">INDEX('Synergy import (8232022)'!A$1:L$229,MATCH(C206,'Synergy import (8232022)'!D$1:D$229,0),7)</f>
        <v>Joshua_H_Munsey@mcpsmd.org</v>
      </c>
      <c r="F206" s="43" t="s">
        <v>598</v>
      </c>
      <c r="G206" s="44" t="s">
        <v>599</v>
      </c>
      <c r="H206" s="36" t="str">
        <f t="array" aca="1" ref="H206" ca="1">IF(ISBLANK(I206),"",INDEX('SFSS import'!A$1:F$59,MATCH(I206,'SFSS import'!E$1:E$59,0),3))</f>
        <v>Sylvia Romero</v>
      </c>
      <c r="I206" s="44" t="s">
        <v>600</v>
      </c>
      <c r="J206" s="36" t="s">
        <v>345</v>
      </c>
      <c r="K206" s="37" t="s">
        <v>346</v>
      </c>
      <c r="L206" s="55"/>
      <c r="M206" s="38"/>
      <c r="N206" s="38" t="s">
        <v>601</v>
      </c>
      <c r="O206" s="46"/>
      <c r="P206" s="49" t="s">
        <v>602</v>
      </c>
      <c r="Q206" s="38" t="s">
        <v>744</v>
      </c>
      <c r="R206" s="49"/>
    </row>
    <row r="207" spans="1:18" ht="12.75">
      <c r="A207" s="33" t="s">
        <v>122</v>
      </c>
      <c r="B207" s="33" t="s">
        <v>603</v>
      </c>
      <c r="C207" s="34">
        <v>788</v>
      </c>
      <c r="D207" s="34" t="str">
        <f t="array" ref="D207">INDEX('Synergy import (8232022)'!A$1:L$229,MATCH(C207,'Synergy import (8232022)'!D$1:D$229,0),8)</f>
        <v>Collins, Nora E.</v>
      </c>
      <c r="E207" s="34" t="str">
        <f t="array" ref="E207">INDEX('Synergy import (8232022)'!A$1:L$229,MATCH(C207,'Synergy import (8232022)'!D$1:D$229,0),7)</f>
        <v>Nora_E_Collins@mcpsmd.org</v>
      </c>
      <c r="F207" s="43" t="s">
        <v>47</v>
      </c>
      <c r="G207" s="44" t="s">
        <v>535</v>
      </c>
      <c r="H207" s="36" t="str">
        <f t="array" aca="1" ref="H207" ca="1">IF(ISBLANK(I207),"",INDEX('SFSS import'!A$1:F$59,MATCH(I207,'SFSS import'!E$1:E$59,0),3))</f>
        <v>Abebe Kassaye</v>
      </c>
      <c r="I207" s="44" t="s">
        <v>536</v>
      </c>
      <c r="J207" s="36" t="s">
        <v>282</v>
      </c>
      <c r="K207" s="37" t="s">
        <v>283</v>
      </c>
      <c r="L207" s="37" t="s">
        <v>319</v>
      </c>
      <c r="M207" s="39"/>
      <c r="N207" s="39"/>
      <c r="O207" s="46"/>
      <c r="P207" s="10"/>
      <c r="Q207" s="39"/>
      <c r="R207" s="49"/>
    </row>
    <row r="208" spans="1:18" ht="12.75">
      <c r="A208" s="33" t="s">
        <v>429</v>
      </c>
      <c r="B208" s="33" t="s">
        <v>604</v>
      </c>
      <c r="C208" s="34">
        <v>558</v>
      </c>
      <c r="D208" s="34" t="str">
        <f t="array" ref="D208">INDEX('Synergy import (8232022)'!A$1:L$229,MATCH(C208,'Synergy import (8232022)'!D$1:D$229,0),8)</f>
        <v>Woods, Loretta A.</v>
      </c>
      <c r="E208" s="34" t="str">
        <f t="array" ref="E208">INDEX('Synergy import (8232022)'!A$1:L$229,MATCH(C208,'Synergy import (8232022)'!D$1:D$229,0),7)</f>
        <v>Loretta_A_Woods@mcpsmd.org</v>
      </c>
      <c r="F208" s="60" t="s">
        <v>503</v>
      </c>
      <c r="G208" s="44" t="s">
        <v>183</v>
      </c>
      <c r="H208" s="36" t="str">
        <f t="array" aca="1" ref="H208" ca="1">IF(ISBLANK(I208),"",INDEX('SFSS import'!A$1:F$59,MATCH(I208,'SFSS import'!E$1:E$59,0),3))</f>
        <v>Shana Bailey</v>
      </c>
      <c r="I208" s="44" t="s">
        <v>184</v>
      </c>
      <c r="J208" s="36" t="s">
        <v>585</v>
      </c>
      <c r="K208" s="37" t="s">
        <v>586</v>
      </c>
      <c r="L208" s="37" t="s">
        <v>202</v>
      </c>
      <c r="M208" s="39"/>
      <c r="N208" s="39"/>
      <c r="O208" s="46"/>
      <c r="P208" s="10"/>
      <c r="Q208" s="39"/>
      <c r="R208" s="49"/>
    </row>
    <row r="209" spans="1:18" ht="25.5">
      <c r="A209" s="33" t="s">
        <v>139</v>
      </c>
      <c r="B209" s="33" t="s">
        <v>606</v>
      </c>
      <c r="C209" s="50">
        <v>811</v>
      </c>
      <c r="D209" s="34" t="str">
        <f t="array" ref="D209">INDEX('Synergy import (8232022)'!A$1:L$229,MATCH(C209,'Synergy import (8232022)'!D$1:D$229,0),8)</f>
        <v>de los Santos, Virginia A.</v>
      </c>
      <c r="E209" s="34" t="str">
        <f t="array" ref="E209">INDEX('Synergy import (8232022)'!A$1:L$229,MATCH(C209,'Synergy import (8232022)'!D$1:D$229,0),7)</f>
        <v>Virginia_A_DeLosSantos@mcpsmd.org</v>
      </c>
      <c r="F209" s="51" t="s">
        <v>649</v>
      </c>
      <c r="G209" s="44" t="s">
        <v>607</v>
      </c>
      <c r="H209" s="36" t="str">
        <f t="array" aca="1" ref="H209" ca="1">IF(ISBLANK(I209),"",INDEX('SFSS import'!A$1:F$59,MATCH(I209,'SFSS import'!E$1:E$59,0),3))</f>
        <v>Abba Gebrehiwot</v>
      </c>
      <c r="I209" s="44" t="s">
        <v>608</v>
      </c>
      <c r="J209" s="36" t="s">
        <v>142</v>
      </c>
      <c r="K209" s="37" t="s">
        <v>143</v>
      </c>
      <c r="L209" s="84"/>
      <c r="M209" s="39"/>
      <c r="N209" s="39"/>
      <c r="O209" s="57"/>
      <c r="P209" s="49"/>
      <c r="Q209" s="38" t="s">
        <v>745</v>
      </c>
      <c r="R209" s="49"/>
    </row>
    <row r="210" spans="1:18" ht="12.75">
      <c r="A210" s="33" t="s">
        <v>41</v>
      </c>
      <c r="B210" s="33" t="s">
        <v>609</v>
      </c>
      <c r="C210" s="50">
        <v>427</v>
      </c>
      <c r="D210" s="34" t="str">
        <f t="array" ref="D210">INDEX('Synergy import (8232022)'!A$1:L$229,MATCH(C210,'Synergy import (8232022)'!D$1:D$229,0),8)</f>
        <v>Dodd, Robert W.</v>
      </c>
      <c r="E210" s="34" t="str">
        <f t="array" ref="E210">INDEX('Synergy import (8232022)'!A$1:L$229,MATCH(C210,'Synergy import (8232022)'!D$1:D$229,0),7)</f>
        <v>Robert_W_Dodd@mcpsmd.org</v>
      </c>
      <c r="F210" s="51" t="s">
        <v>610</v>
      </c>
      <c r="G210" s="52"/>
      <c r="H210" s="36" t="str">
        <f t="array" ref="H210">IF(ISBLANK(I210),"",INDEX('SFSS import'!A$1:F$59,MATCH(I210,'SFSS import'!E$1:E$59,0),3))</f>
        <v/>
      </c>
      <c r="I210" s="52"/>
      <c r="J210" s="36" t="s">
        <v>175</v>
      </c>
      <c r="K210" s="37" t="s">
        <v>176</v>
      </c>
      <c r="L210" s="55"/>
      <c r="M210" s="39"/>
      <c r="N210" s="39"/>
      <c r="O210" s="46"/>
      <c r="P210" s="49" t="s">
        <v>611</v>
      </c>
      <c r="Q210" s="38" t="s">
        <v>746</v>
      </c>
      <c r="R210" s="49"/>
    </row>
    <row r="211" spans="1:18" ht="15">
      <c r="A211" s="33" t="s">
        <v>148</v>
      </c>
      <c r="B211" s="33" t="s">
        <v>612</v>
      </c>
      <c r="C211" s="50">
        <v>341</v>
      </c>
      <c r="D211" s="34" t="str">
        <f t="array" ref="D211">INDEX('Synergy import (8232022)'!A$1:L$229,MATCH(C211,'Synergy import (8232022)'!D$1:D$229,0),8)</f>
        <v>Burns, Kevin M.</v>
      </c>
      <c r="E211" s="34" t="str">
        <f t="array" ref="E211">INDEX('Synergy import (8232022)'!A$1:L$229,MATCH(C211,'Synergy import (8232022)'!D$1:D$229,0),7)</f>
        <v>Kevin_M_Burns@mcpsmd.org</v>
      </c>
      <c r="F211" s="51" t="s">
        <v>613</v>
      </c>
      <c r="G211" s="52"/>
      <c r="H211" s="36" t="str">
        <f t="array" ref="H211">IF(ISBLANK(I211),"",INDEX('SFSS import'!A$1:F$59,MATCH(I211,'SFSS import'!E$1:E$59,0),3))</f>
        <v/>
      </c>
      <c r="I211" s="52"/>
      <c r="J211" s="36" t="s">
        <v>614</v>
      </c>
      <c r="K211" s="37" t="s">
        <v>194</v>
      </c>
      <c r="L211" s="55"/>
      <c r="M211" s="39"/>
      <c r="N211" s="39"/>
      <c r="O211" s="46"/>
      <c r="P211" s="10"/>
      <c r="Q211" s="65"/>
      <c r="R211" s="49"/>
    </row>
    <row r="212" spans="1:18" ht="12.75">
      <c r="A212" s="33" t="s">
        <v>41</v>
      </c>
      <c r="B212" s="33" t="s">
        <v>615</v>
      </c>
      <c r="C212" s="50">
        <v>417</v>
      </c>
      <c r="D212" s="34" t="str">
        <f t="array" ref="D212">INDEX('Synergy import (8232022)'!A$1:L$229,MATCH(C212,'Synergy import (8232022)'!D$1:D$229,0),8)</f>
        <v>Zaks, Sweta</v>
      </c>
      <c r="E212" s="34" t="str">
        <f t="array" ref="E212">INDEX('Synergy import (8232022)'!A$1:L$229,MATCH(C212,'Synergy import (8232022)'!D$1:D$229,0),7)</f>
        <v>Sweta_Zaks@mcpsmd.org</v>
      </c>
      <c r="F212" s="51" t="s">
        <v>138</v>
      </c>
      <c r="G212" s="52"/>
      <c r="H212" s="36" t="str">
        <f t="array" ref="H212">IF(ISBLANK(I212),"",INDEX('SFSS import'!A$1:F$59,MATCH(I212,'SFSS import'!E$1:E$59,0),3))</f>
        <v/>
      </c>
      <c r="I212" s="52"/>
      <c r="J212" s="36" t="s">
        <v>175</v>
      </c>
      <c r="K212" s="37" t="s">
        <v>176</v>
      </c>
      <c r="L212" s="55"/>
      <c r="M212" s="39"/>
      <c r="N212" s="39"/>
      <c r="O212" s="46"/>
      <c r="P212" s="10"/>
      <c r="Q212" s="38"/>
      <c r="R212" s="49"/>
    </row>
    <row r="213" spans="1:18" ht="15">
      <c r="A213" s="33" t="s">
        <v>45</v>
      </c>
      <c r="B213" s="33" t="s">
        <v>616</v>
      </c>
      <c r="C213" s="34">
        <v>820</v>
      </c>
      <c r="D213" s="34" t="str">
        <f t="array" ref="D213">INDEX('Synergy import (8232022)'!A$1:L$229,MATCH(C213,'Synergy import (8232022)'!D$1:D$229,0),8)</f>
        <v>Slatcoff, Heidi L.</v>
      </c>
      <c r="E213" s="34" t="str">
        <f t="array" ref="E213">INDEX('Synergy import (8232022)'!A$1:L$229,MATCH(C213,'Synergy import (8232022)'!D$1:D$229,0),7)</f>
        <v>Heidi_L_Slatcoff@mcpsmd.org</v>
      </c>
      <c r="F213" s="60" t="s">
        <v>683</v>
      </c>
      <c r="G213" s="44" t="s">
        <v>514</v>
      </c>
      <c r="H213" s="36" t="str">
        <f t="array" aca="1" ref="H213" ca="1">IF(ISBLANK(I213),"",INDEX('SFSS import'!A$1:F$59,MATCH(I213,'SFSS import'!E$1:E$59,0),3))</f>
        <v>Eduardo Garduno Villa</v>
      </c>
      <c r="I213" s="44" t="s">
        <v>418</v>
      </c>
      <c r="J213" s="36" t="s">
        <v>636</v>
      </c>
      <c r="K213" s="37" t="s">
        <v>637</v>
      </c>
      <c r="L213" s="37" t="s">
        <v>520</v>
      </c>
      <c r="M213" s="39"/>
      <c r="N213" s="39"/>
      <c r="O213" s="46"/>
      <c r="P213" s="10"/>
      <c r="Q213" s="65" t="s">
        <v>747</v>
      </c>
      <c r="R213" s="49"/>
    </row>
    <row r="214" spans="1:18" ht="12.75">
      <c r="A214" s="33" t="s">
        <v>29</v>
      </c>
      <c r="B214" s="33" t="s">
        <v>617</v>
      </c>
      <c r="C214" s="50">
        <v>704</v>
      </c>
      <c r="D214" s="34" t="str">
        <f t="array" ref="D214">INDEX('Synergy import (8232022)'!A$1:L$229,MATCH(C214,'Synergy import (8232022)'!D$1:D$229,0),8)</f>
        <v>Brant, Stephanie D.</v>
      </c>
      <c r="E214" s="34" t="str">
        <f t="array" ref="E214">INDEX('Synergy import (8232022)'!A$1:L$229,MATCH(C214,'Synergy import (8232022)'!D$1:D$229,0),7)</f>
        <v>Stephanie_D_Brant@mcpsmd.org</v>
      </c>
      <c r="F214" s="56" t="s">
        <v>190</v>
      </c>
      <c r="G214" s="52"/>
      <c r="H214" s="36" t="str">
        <f t="array" ref="H214">IF(ISBLANK(I214),"",INDEX('SFSS import'!A$1:F$59,MATCH(I214,'SFSS import'!E$1:E$59,0),3))</f>
        <v/>
      </c>
      <c r="I214" s="52"/>
      <c r="J214" s="36" t="s">
        <v>614</v>
      </c>
      <c r="K214" s="37" t="s">
        <v>194</v>
      </c>
      <c r="L214" s="55"/>
      <c r="M214" s="39"/>
      <c r="N214" s="39"/>
      <c r="O214" s="57"/>
      <c r="P214" s="49"/>
      <c r="Q214" s="38"/>
      <c r="R214" s="49"/>
    </row>
    <row r="215" spans="1:18" ht="25.5">
      <c r="A215" s="33" t="s">
        <v>247</v>
      </c>
      <c r="B215" s="33" t="s">
        <v>618</v>
      </c>
      <c r="C215" s="50">
        <v>764</v>
      </c>
      <c r="D215" s="34" t="str">
        <f t="array" ref="D215">INDEX('Synergy import (8232022)'!A$1:L$229,MATCH(C215,'Synergy import (8232022)'!D$1:D$229,0),8)</f>
        <v>Jackson, Craig O.</v>
      </c>
      <c r="E215" s="34" t="str">
        <f t="array" ref="E215">INDEX('Synergy import (8232022)'!A$1:L$229,MATCH(C215,'Synergy import (8232022)'!D$1:D$229,0),7)</f>
        <v>Craig_O_Jackson@mcpsmd.org</v>
      </c>
      <c r="F215" s="51" t="s">
        <v>480</v>
      </c>
      <c r="G215" s="44" t="s">
        <v>619</v>
      </c>
      <c r="H215" s="36" t="str">
        <f t="array" aca="1" ref="H215" ca="1">IF(ISBLANK(I215),"",INDEX('SFSS import'!A$1:F$59,MATCH(I215,'SFSS import'!E$1:E$59,0),3))</f>
        <v>Marta Ferman</v>
      </c>
      <c r="I215" s="44" t="s">
        <v>349</v>
      </c>
      <c r="J215" s="36" t="s">
        <v>373</v>
      </c>
      <c r="K215" s="37" t="s">
        <v>15</v>
      </c>
      <c r="L215" s="55"/>
      <c r="M215" s="39"/>
      <c r="N215" s="39"/>
      <c r="O215" s="46"/>
      <c r="P215" s="10"/>
      <c r="Q215" s="39"/>
      <c r="R215" s="49"/>
    </row>
    <row r="216" spans="1:18" ht="25.5">
      <c r="A216" s="33" t="s">
        <v>211</v>
      </c>
      <c r="B216" s="33" t="s">
        <v>620</v>
      </c>
      <c r="C216" s="50">
        <v>234</v>
      </c>
      <c r="D216" s="34" t="str">
        <f t="array" ref="D216">INDEX('Synergy import (8232022)'!A$1:L$229,MATCH(C216,'Synergy import (8232022)'!D$1:D$229,0),8)</f>
        <v>Nelson, Douglas E.</v>
      </c>
      <c r="E216" s="34" t="str">
        <f t="array" ref="E216">INDEX('Synergy import (8232022)'!A$1:L$229,MATCH(C216,'Synergy import (8232022)'!D$1:D$229,0),7)</f>
        <v>Douglas_E_Nelson@mcpsmd.org</v>
      </c>
      <c r="F216" s="56" t="s">
        <v>656</v>
      </c>
      <c r="G216" s="52"/>
      <c r="H216" s="36" t="str">
        <f t="array" ref="H216">IF(ISBLANK(I216),"",INDEX('SFSS import'!A$1:F$59,MATCH(I216,'SFSS import'!E$1:E$59,0),3))</f>
        <v/>
      </c>
      <c r="I216" s="52"/>
      <c r="J216" s="36" t="s">
        <v>657</v>
      </c>
      <c r="K216" s="64" t="s">
        <v>213</v>
      </c>
      <c r="L216" s="88"/>
      <c r="M216" s="39"/>
      <c r="N216" s="39"/>
      <c r="O216" s="46"/>
      <c r="P216" s="49" t="s">
        <v>621</v>
      </c>
      <c r="Q216" s="38" t="s">
        <v>748</v>
      </c>
      <c r="R216" s="49"/>
    </row>
    <row r="217" spans="1:18" ht="12.75">
      <c r="A217" s="33" t="s">
        <v>25</v>
      </c>
      <c r="B217" s="33" t="s">
        <v>622</v>
      </c>
      <c r="C217" s="50">
        <v>422</v>
      </c>
      <c r="D217" s="34" t="str">
        <f t="array" ref="D217">INDEX('Synergy import (8232022)'!A$1:L$229,MATCH(C217,'Synergy import (8232022)'!D$1:D$229,0),8)</f>
        <v>Wallen, Nichola A.</v>
      </c>
      <c r="E217" s="34" t="str">
        <f t="array" ref="E217">INDEX('Synergy import (8232022)'!A$1:L$229,MATCH(C217,'Synergy import (8232022)'!D$1:D$229,0),7)</f>
        <v>Nichola_A_Wallen@mcpsmd.org</v>
      </c>
      <c r="F217" s="56" t="s">
        <v>163</v>
      </c>
      <c r="G217" s="88"/>
      <c r="H217" s="36" t="str">
        <f t="array" ref="H217">IF(ISBLANK(I217),"",INDEX('SFSS import'!A$1:F$59,MATCH(I217,'SFSS import'!E$1:E$59,0),3))</f>
        <v/>
      </c>
      <c r="I217" s="88"/>
      <c r="J217" s="89" t="s">
        <v>27</v>
      </c>
      <c r="K217" s="89" t="s">
        <v>28</v>
      </c>
      <c r="L217" s="90"/>
      <c r="M217" s="39"/>
      <c r="N217" s="39"/>
      <c r="Q217" s="39"/>
    </row>
    <row r="218" spans="1:18" ht="15">
      <c r="C218" s="91"/>
      <c r="D218" s="91"/>
      <c r="E218" s="91"/>
      <c r="F218" s="91" t="s">
        <v>749</v>
      </c>
      <c r="G218" s="92"/>
      <c r="H218" s="92"/>
      <c r="I218" s="92"/>
      <c r="J218" s="93"/>
      <c r="K218" s="93"/>
      <c r="M218" s="90"/>
      <c r="N218" s="90"/>
      <c r="Q218" s="10"/>
    </row>
    <row r="219" spans="1:18" ht="12.75">
      <c r="C219" s="92"/>
      <c r="D219" s="92"/>
      <c r="E219" s="92"/>
      <c r="F219" s="92"/>
      <c r="G219" s="92"/>
      <c r="H219" s="92"/>
      <c r="I219" s="92"/>
      <c r="J219" s="93"/>
      <c r="K219" s="93"/>
      <c r="L219" s="90"/>
      <c r="M219" s="90"/>
      <c r="N219" s="90"/>
      <c r="Q219" s="10"/>
    </row>
    <row r="220" spans="1:18" ht="12.75">
      <c r="B220" s="94"/>
      <c r="C220" s="95"/>
      <c r="D220" s="95"/>
      <c r="E220" s="95"/>
      <c r="F220" s="95"/>
      <c r="G220" s="96" t="s">
        <v>750</v>
      </c>
      <c r="H220" s="96"/>
      <c r="I220" s="96"/>
      <c r="J220" s="97"/>
      <c r="K220" s="97"/>
      <c r="L220" s="98" t="s">
        <v>751</v>
      </c>
      <c r="M220" s="98"/>
      <c r="N220" s="98" t="s">
        <v>752</v>
      </c>
      <c r="O220" s="96"/>
      <c r="P220" s="96" t="s">
        <v>753</v>
      </c>
      <c r="Q220" s="98" t="s">
        <v>752</v>
      </c>
    </row>
    <row r="221" spans="1:18" ht="12.75">
      <c r="C221" s="92"/>
      <c r="D221" s="92"/>
      <c r="E221" s="92"/>
      <c r="F221" s="92"/>
      <c r="G221" s="92"/>
      <c r="H221" s="92"/>
      <c r="I221" s="92"/>
      <c r="J221" s="93"/>
      <c r="K221" s="93"/>
      <c r="L221" s="90"/>
      <c r="M221" s="90"/>
      <c r="N221" s="90"/>
      <c r="Q221" s="10"/>
    </row>
    <row r="222" spans="1:18" ht="12.75">
      <c r="C222" s="92"/>
      <c r="D222" s="92"/>
      <c r="E222" s="92"/>
      <c r="F222" s="92"/>
      <c r="G222" s="92"/>
      <c r="H222" s="92"/>
      <c r="I222" s="92"/>
      <c r="J222" s="93"/>
      <c r="K222" s="93"/>
      <c r="L222" s="90"/>
      <c r="M222" s="90"/>
      <c r="N222" s="90"/>
      <c r="Q222" s="10"/>
    </row>
    <row r="223" spans="1:18" ht="12.75">
      <c r="C223" s="92"/>
      <c r="D223" s="92"/>
      <c r="E223" s="92"/>
      <c r="F223" s="92"/>
      <c r="G223" s="92"/>
      <c r="H223" s="92"/>
      <c r="I223" s="92"/>
      <c r="J223" s="93"/>
      <c r="K223" s="93"/>
      <c r="L223" s="90"/>
      <c r="M223" s="90"/>
      <c r="N223" s="90"/>
      <c r="Q223" s="10"/>
    </row>
    <row r="224" spans="1:18" ht="12.75">
      <c r="C224" s="92"/>
      <c r="D224" s="92"/>
      <c r="E224" s="92"/>
      <c r="F224" s="92"/>
      <c r="G224" s="92"/>
      <c r="H224" s="92"/>
      <c r="I224" s="92"/>
      <c r="J224" s="93"/>
      <c r="K224" s="93"/>
      <c r="L224" s="90"/>
      <c r="M224" s="90"/>
      <c r="N224" s="90"/>
      <c r="Q224" s="10"/>
    </row>
    <row r="225" spans="3:17" ht="12.75">
      <c r="C225" s="92"/>
      <c r="D225" s="92"/>
      <c r="E225" s="92"/>
      <c r="F225" s="92"/>
      <c r="G225" s="92"/>
      <c r="H225" s="92"/>
      <c r="I225" s="92"/>
      <c r="J225" s="93"/>
      <c r="K225" s="93"/>
      <c r="L225" s="90"/>
      <c r="M225" s="90"/>
      <c r="N225" s="90"/>
      <c r="Q225" s="10"/>
    </row>
    <row r="226" spans="3:17" ht="12.75">
      <c r="C226" s="92"/>
      <c r="D226" s="92"/>
      <c r="E226" s="92"/>
      <c r="F226" s="92"/>
      <c r="G226" s="92"/>
      <c r="H226" s="92"/>
      <c r="I226" s="92"/>
      <c r="J226" s="93"/>
      <c r="K226" s="93"/>
      <c r="L226" s="90"/>
      <c r="M226" s="90"/>
      <c r="N226" s="90"/>
      <c r="Q226" s="10"/>
    </row>
    <row r="227" spans="3:17" ht="12.75">
      <c r="C227" s="92"/>
      <c r="D227" s="92"/>
      <c r="E227" s="92"/>
      <c r="F227" s="92"/>
      <c r="G227" s="92"/>
      <c r="H227" s="92"/>
      <c r="I227" s="92"/>
      <c r="J227" s="93"/>
      <c r="K227" s="93"/>
      <c r="L227" s="90"/>
      <c r="M227" s="90"/>
      <c r="N227" s="90"/>
      <c r="Q227" s="10"/>
    </row>
    <row r="228" spans="3:17" ht="12.75">
      <c r="C228" s="92"/>
      <c r="D228" s="92"/>
      <c r="E228" s="92"/>
      <c r="F228" s="92"/>
      <c r="G228" s="92"/>
      <c r="H228" s="92"/>
      <c r="I228" s="92"/>
      <c r="J228" s="93"/>
      <c r="K228" s="93"/>
      <c r="L228" s="90"/>
      <c r="M228" s="90"/>
      <c r="N228" s="90"/>
      <c r="Q228" s="10"/>
    </row>
    <row r="229" spans="3:17" ht="12.75">
      <c r="C229" s="92"/>
      <c r="D229" s="92"/>
      <c r="E229" s="92"/>
      <c r="F229" s="92"/>
      <c r="G229" s="92"/>
      <c r="H229" s="92"/>
      <c r="I229" s="92"/>
      <c r="J229" s="93"/>
      <c r="K229" s="93"/>
      <c r="L229" s="90"/>
      <c r="M229" s="90"/>
      <c r="N229" s="90"/>
      <c r="Q229" s="10"/>
    </row>
    <row r="230" spans="3:17" ht="12.75">
      <c r="C230" s="92"/>
      <c r="D230" s="92"/>
      <c r="E230" s="92"/>
      <c r="F230" s="92"/>
      <c r="G230" s="92"/>
      <c r="H230" s="92"/>
      <c r="I230" s="92"/>
      <c r="J230" s="93"/>
      <c r="K230" s="93"/>
      <c r="L230" s="90"/>
      <c r="M230" s="90"/>
      <c r="N230" s="90"/>
      <c r="Q230" s="10"/>
    </row>
    <row r="231" spans="3:17" ht="12.75">
      <c r="C231" s="92"/>
      <c r="D231" s="92"/>
      <c r="E231" s="92"/>
      <c r="F231" s="92"/>
      <c r="G231" s="92"/>
      <c r="H231" s="92"/>
      <c r="I231" s="92"/>
      <c r="J231" s="93"/>
      <c r="K231" s="93"/>
      <c r="L231" s="90"/>
      <c r="M231" s="90"/>
      <c r="N231" s="90"/>
      <c r="Q231" s="10"/>
    </row>
    <row r="232" spans="3:17" ht="12.75">
      <c r="C232" s="92"/>
      <c r="D232" s="92"/>
      <c r="E232" s="92"/>
      <c r="F232" s="92"/>
      <c r="G232" s="92"/>
      <c r="H232" s="92"/>
      <c r="I232" s="92"/>
      <c r="J232" s="93"/>
      <c r="K232" s="93"/>
      <c r="L232" s="90"/>
      <c r="M232" s="90"/>
      <c r="N232" s="90"/>
      <c r="Q232" s="10"/>
    </row>
    <row r="233" spans="3:17" ht="12.75">
      <c r="C233" s="92"/>
      <c r="D233" s="92"/>
      <c r="E233" s="92"/>
      <c r="F233" s="92"/>
      <c r="G233" s="92"/>
      <c r="H233" s="92"/>
      <c r="I233" s="92"/>
      <c r="J233" s="93"/>
      <c r="K233" s="93"/>
      <c r="L233" s="90"/>
      <c r="M233" s="90"/>
      <c r="N233" s="90"/>
      <c r="Q233" s="10"/>
    </row>
    <row r="234" spans="3:17" ht="12.75">
      <c r="C234" s="92"/>
      <c r="D234" s="92"/>
      <c r="E234" s="92"/>
      <c r="F234" s="92"/>
      <c r="G234" s="92"/>
      <c r="H234" s="92"/>
      <c r="I234" s="92"/>
      <c r="J234" s="93"/>
      <c r="K234" s="93"/>
      <c r="L234" s="90"/>
      <c r="M234" s="90"/>
      <c r="N234" s="90"/>
      <c r="Q234" s="10"/>
    </row>
    <row r="235" spans="3:17" ht="12.75">
      <c r="C235" s="92"/>
      <c r="D235" s="92"/>
      <c r="E235" s="92"/>
      <c r="F235" s="92"/>
      <c r="G235" s="92"/>
      <c r="H235" s="92"/>
      <c r="I235" s="92"/>
      <c r="J235" s="93"/>
      <c r="K235" s="93"/>
      <c r="L235" s="90"/>
      <c r="M235" s="90"/>
      <c r="N235" s="90"/>
      <c r="Q235" s="10"/>
    </row>
    <row r="236" spans="3:17" ht="12.75">
      <c r="C236" s="92"/>
      <c r="D236" s="92"/>
      <c r="E236" s="92"/>
      <c r="F236" s="92"/>
      <c r="G236" s="92"/>
      <c r="H236" s="92"/>
      <c r="I236" s="92"/>
      <c r="J236" s="93"/>
      <c r="K236" s="93"/>
      <c r="L236" s="90"/>
      <c r="M236" s="90"/>
      <c r="N236" s="90"/>
      <c r="Q236" s="10"/>
    </row>
    <row r="237" spans="3:17" ht="12.75">
      <c r="C237" s="92"/>
      <c r="D237" s="92"/>
      <c r="E237" s="92"/>
      <c r="F237" s="92"/>
      <c r="G237" s="92"/>
      <c r="H237" s="92"/>
      <c r="I237" s="92"/>
      <c r="J237" s="93"/>
      <c r="K237" s="93"/>
      <c r="L237" s="90"/>
      <c r="M237" s="90"/>
      <c r="N237" s="90"/>
      <c r="Q237" s="10"/>
    </row>
    <row r="238" spans="3:17" ht="12.75">
      <c r="C238" s="92"/>
      <c r="D238" s="92"/>
      <c r="E238" s="92"/>
      <c r="F238" s="92"/>
      <c r="G238" s="92"/>
      <c r="H238" s="92"/>
      <c r="I238" s="92"/>
      <c r="J238" s="93"/>
      <c r="K238" s="93"/>
      <c r="L238" s="90"/>
      <c r="M238" s="90"/>
      <c r="N238" s="90"/>
      <c r="Q238" s="10"/>
    </row>
    <row r="239" spans="3:17" ht="12.75">
      <c r="C239" s="92"/>
      <c r="D239" s="92"/>
      <c r="E239" s="92"/>
      <c r="F239" s="92"/>
      <c r="G239" s="92"/>
      <c r="H239" s="92"/>
      <c r="I239" s="92"/>
      <c r="J239" s="93"/>
      <c r="K239" s="93"/>
      <c r="L239" s="90"/>
      <c r="M239" s="90"/>
      <c r="N239" s="90"/>
      <c r="Q239" s="10"/>
    </row>
    <row r="240" spans="3:17" ht="12.75">
      <c r="C240" s="92"/>
      <c r="D240" s="92"/>
      <c r="E240" s="92"/>
      <c r="F240" s="92"/>
      <c r="G240" s="92"/>
      <c r="H240" s="92"/>
      <c r="I240" s="92"/>
      <c r="J240" s="93"/>
      <c r="K240" s="93"/>
      <c r="L240" s="90"/>
      <c r="M240" s="90"/>
      <c r="N240" s="90"/>
      <c r="Q240" s="10"/>
    </row>
    <row r="241" spans="3:17" ht="12.75">
      <c r="C241" s="92"/>
      <c r="D241" s="92"/>
      <c r="E241" s="92"/>
      <c r="F241" s="92"/>
      <c r="G241" s="92"/>
      <c r="H241" s="92"/>
      <c r="I241" s="92"/>
      <c r="J241" s="93"/>
      <c r="K241" s="93"/>
      <c r="L241" s="90"/>
      <c r="M241" s="90"/>
      <c r="N241" s="90"/>
      <c r="Q241" s="10"/>
    </row>
    <row r="242" spans="3:17" ht="12.75">
      <c r="C242" s="92"/>
      <c r="D242" s="92"/>
      <c r="E242" s="92"/>
      <c r="F242" s="92"/>
      <c r="G242" s="92"/>
      <c r="H242" s="92"/>
      <c r="I242" s="92"/>
      <c r="J242" s="93"/>
      <c r="K242" s="93"/>
      <c r="L242" s="90"/>
      <c r="M242" s="90"/>
      <c r="N242" s="90"/>
      <c r="Q242" s="10"/>
    </row>
    <row r="243" spans="3:17" ht="12.75">
      <c r="C243" s="92"/>
      <c r="D243" s="92"/>
      <c r="E243" s="92"/>
      <c r="F243" s="92"/>
      <c r="G243" s="92"/>
      <c r="H243" s="92"/>
      <c r="I243" s="92"/>
      <c r="J243" s="93"/>
      <c r="K243" s="93"/>
      <c r="L243" s="90"/>
      <c r="M243" s="90"/>
      <c r="N243" s="90"/>
      <c r="Q243" s="10"/>
    </row>
    <row r="244" spans="3:17" ht="12.75">
      <c r="C244" s="92"/>
      <c r="D244" s="92"/>
      <c r="E244" s="92"/>
      <c r="F244" s="92"/>
      <c r="G244" s="92"/>
      <c r="H244" s="92"/>
      <c r="I244" s="92"/>
      <c r="J244" s="93"/>
      <c r="K244" s="93"/>
      <c r="L244" s="90"/>
      <c r="M244" s="90"/>
      <c r="N244" s="90"/>
      <c r="Q244" s="10"/>
    </row>
    <row r="245" spans="3:17" ht="12.75">
      <c r="C245" s="92"/>
      <c r="D245" s="92"/>
      <c r="E245" s="92"/>
      <c r="F245" s="92"/>
      <c r="G245" s="92"/>
      <c r="H245" s="92"/>
      <c r="I245" s="92"/>
      <c r="J245" s="93"/>
      <c r="K245" s="93"/>
      <c r="L245" s="90"/>
      <c r="M245" s="90"/>
      <c r="N245" s="90"/>
      <c r="Q245" s="10"/>
    </row>
    <row r="246" spans="3:17" ht="12.75">
      <c r="C246" s="92"/>
      <c r="D246" s="92"/>
      <c r="E246" s="92"/>
      <c r="F246" s="92"/>
      <c r="G246" s="92"/>
      <c r="H246" s="92"/>
      <c r="I246" s="92"/>
      <c r="J246" s="93"/>
      <c r="K246" s="93"/>
      <c r="L246" s="90"/>
      <c r="M246" s="90"/>
      <c r="N246" s="90"/>
      <c r="Q246" s="10"/>
    </row>
    <row r="247" spans="3:17" ht="12.75">
      <c r="C247" s="92"/>
      <c r="D247" s="92"/>
      <c r="E247" s="92"/>
      <c r="F247" s="92"/>
      <c r="G247" s="92"/>
      <c r="H247" s="92"/>
      <c r="I247" s="92"/>
      <c r="J247" s="93"/>
      <c r="K247" s="93"/>
      <c r="L247" s="90"/>
      <c r="M247" s="90"/>
      <c r="N247" s="90"/>
      <c r="Q247" s="10"/>
    </row>
    <row r="248" spans="3:17" ht="12.75">
      <c r="C248" s="92"/>
      <c r="D248" s="92"/>
      <c r="E248" s="92"/>
      <c r="F248" s="92"/>
      <c r="G248" s="92"/>
      <c r="H248" s="92"/>
      <c r="I248" s="92"/>
      <c r="J248" s="93"/>
      <c r="K248" s="93"/>
      <c r="L248" s="90"/>
      <c r="M248" s="90"/>
      <c r="N248" s="90"/>
      <c r="Q248" s="10"/>
    </row>
    <row r="249" spans="3:17" ht="12.75">
      <c r="C249" s="92"/>
      <c r="D249" s="92"/>
      <c r="E249" s="92"/>
      <c r="F249" s="92"/>
      <c r="G249" s="92"/>
      <c r="H249" s="92"/>
      <c r="I249" s="92"/>
      <c r="J249" s="93"/>
      <c r="K249" s="93"/>
      <c r="L249" s="90"/>
      <c r="M249" s="90"/>
      <c r="N249" s="90"/>
      <c r="Q249" s="10"/>
    </row>
    <row r="250" spans="3:17" ht="12.75">
      <c r="C250" s="92"/>
      <c r="D250" s="92"/>
      <c r="E250" s="92"/>
      <c r="F250" s="92"/>
      <c r="G250" s="92"/>
      <c r="H250" s="92"/>
      <c r="I250" s="92"/>
      <c r="J250" s="93"/>
      <c r="K250" s="93"/>
      <c r="L250" s="90"/>
      <c r="M250" s="90"/>
      <c r="N250" s="90"/>
      <c r="Q250" s="10"/>
    </row>
    <row r="251" spans="3:17" ht="12.75">
      <c r="C251" s="92"/>
      <c r="D251" s="92"/>
      <c r="E251" s="92"/>
      <c r="F251" s="92"/>
      <c r="G251" s="92"/>
      <c r="H251" s="92"/>
      <c r="I251" s="92"/>
      <c r="J251" s="93"/>
      <c r="K251" s="93"/>
      <c r="L251" s="90"/>
      <c r="M251" s="90"/>
      <c r="N251" s="90"/>
      <c r="Q251" s="10"/>
    </row>
    <row r="252" spans="3:17" ht="12.75">
      <c r="C252" s="92"/>
      <c r="D252" s="92"/>
      <c r="E252" s="92"/>
      <c r="F252" s="92"/>
      <c r="G252" s="92"/>
      <c r="H252" s="92"/>
      <c r="I252" s="92"/>
      <c r="J252" s="93"/>
      <c r="K252" s="93"/>
      <c r="L252" s="90"/>
      <c r="M252" s="90"/>
      <c r="N252" s="90"/>
      <c r="Q252" s="10"/>
    </row>
    <row r="253" spans="3:17" ht="12.75">
      <c r="C253" s="92"/>
      <c r="D253" s="92"/>
      <c r="E253" s="92"/>
      <c r="F253" s="92"/>
      <c r="G253" s="92"/>
      <c r="H253" s="92"/>
      <c r="I253" s="92"/>
      <c r="J253" s="93"/>
      <c r="K253" s="93"/>
      <c r="L253" s="90"/>
      <c r="M253" s="90"/>
      <c r="N253" s="90"/>
      <c r="Q253" s="10"/>
    </row>
    <row r="254" spans="3:17" ht="12.75">
      <c r="C254" s="92"/>
      <c r="D254" s="92"/>
      <c r="E254" s="92"/>
      <c r="F254" s="92"/>
      <c r="G254" s="92"/>
      <c r="H254" s="92"/>
      <c r="I254" s="92"/>
      <c r="J254" s="93"/>
      <c r="K254" s="93"/>
      <c r="L254" s="90"/>
      <c r="M254" s="90"/>
      <c r="N254" s="90"/>
      <c r="Q254" s="10"/>
    </row>
    <row r="255" spans="3:17" ht="12.75">
      <c r="C255" s="92"/>
      <c r="D255" s="92"/>
      <c r="E255" s="92"/>
      <c r="F255" s="92"/>
      <c r="G255" s="92"/>
      <c r="H255" s="92"/>
      <c r="I255" s="92"/>
      <c r="J255" s="93"/>
      <c r="K255" s="93"/>
      <c r="L255" s="90"/>
      <c r="M255" s="90"/>
      <c r="N255" s="90"/>
      <c r="Q255" s="10"/>
    </row>
    <row r="256" spans="3:17" ht="12.75">
      <c r="C256" s="92"/>
      <c r="D256" s="92"/>
      <c r="E256" s="92"/>
      <c r="F256" s="92"/>
      <c r="G256" s="92"/>
      <c r="H256" s="92"/>
      <c r="I256" s="92"/>
      <c r="J256" s="93"/>
      <c r="K256" s="93"/>
      <c r="L256" s="90"/>
      <c r="M256" s="90"/>
      <c r="N256" s="90"/>
      <c r="Q256" s="10"/>
    </row>
    <row r="257" spans="3:17" ht="12.75">
      <c r="C257" s="92"/>
      <c r="D257" s="92"/>
      <c r="E257" s="92"/>
      <c r="F257" s="92"/>
      <c r="G257" s="92"/>
      <c r="H257" s="92"/>
      <c r="I257" s="92"/>
      <c r="J257" s="93"/>
      <c r="K257" s="93"/>
      <c r="L257" s="90"/>
      <c r="M257" s="90"/>
      <c r="N257" s="90"/>
      <c r="Q257" s="10"/>
    </row>
    <row r="258" spans="3:17" ht="12.75">
      <c r="C258" s="92"/>
      <c r="D258" s="92"/>
      <c r="E258" s="92"/>
      <c r="F258" s="92"/>
      <c r="G258" s="92"/>
      <c r="H258" s="92"/>
      <c r="I258" s="92"/>
      <c r="J258" s="93"/>
      <c r="K258" s="93"/>
      <c r="L258" s="90"/>
      <c r="M258" s="90"/>
      <c r="N258" s="90"/>
      <c r="Q258" s="10"/>
    </row>
    <row r="259" spans="3:17" ht="12.75">
      <c r="C259" s="92"/>
      <c r="D259" s="92"/>
      <c r="E259" s="92"/>
      <c r="F259" s="92"/>
      <c r="G259" s="92"/>
      <c r="H259" s="92"/>
      <c r="I259" s="92"/>
      <c r="J259" s="93"/>
      <c r="K259" s="93"/>
      <c r="L259" s="90"/>
      <c r="M259" s="90"/>
      <c r="N259" s="90"/>
      <c r="Q259" s="10"/>
    </row>
    <row r="260" spans="3:17" ht="12.75">
      <c r="C260" s="92"/>
      <c r="D260" s="92"/>
      <c r="E260" s="92"/>
      <c r="F260" s="92"/>
      <c r="G260" s="92"/>
      <c r="H260" s="92"/>
      <c r="I260" s="92"/>
      <c r="J260" s="93"/>
      <c r="K260" s="93"/>
      <c r="L260" s="90"/>
      <c r="M260" s="90"/>
      <c r="N260" s="90"/>
      <c r="Q260" s="10"/>
    </row>
    <row r="261" spans="3:17" ht="12.75">
      <c r="C261" s="92"/>
      <c r="D261" s="92"/>
      <c r="E261" s="92"/>
      <c r="F261" s="92"/>
      <c r="G261" s="92"/>
      <c r="H261" s="92"/>
      <c r="I261" s="92"/>
      <c r="J261" s="93"/>
      <c r="K261" s="93"/>
      <c r="L261" s="90"/>
      <c r="M261" s="90"/>
      <c r="N261" s="90"/>
      <c r="Q261" s="10"/>
    </row>
    <row r="262" spans="3:17" ht="12.75">
      <c r="C262" s="92"/>
      <c r="D262" s="92"/>
      <c r="E262" s="92"/>
      <c r="F262" s="92"/>
      <c r="G262" s="92"/>
      <c r="H262" s="92"/>
      <c r="I262" s="92"/>
      <c r="J262" s="93"/>
      <c r="K262" s="93"/>
      <c r="L262" s="90"/>
      <c r="M262" s="90"/>
      <c r="N262" s="90"/>
      <c r="Q262" s="10"/>
    </row>
    <row r="263" spans="3:17" ht="12.75">
      <c r="C263" s="92"/>
      <c r="D263" s="92"/>
      <c r="E263" s="92"/>
      <c r="F263" s="92"/>
      <c r="G263" s="92"/>
      <c r="H263" s="92"/>
      <c r="I263" s="92"/>
      <c r="J263" s="93"/>
      <c r="K263" s="93"/>
      <c r="L263" s="90"/>
      <c r="M263" s="90"/>
      <c r="N263" s="90"/>
      <c r="Q263" s="10"/>
    </row>
    <row r="264" spans="3:17" ht="12.75">
      <c r="C264" s="92"/>
      <c r="D264" s="92"/>
      <c r="E264" s="92"/>
      <c r="F264" s="92"/>
      <c r="G264" s="92"/>
      <c r="H264" s="92"/>
      <c r="I264" s="92"/>
      <c r="J264" s="93"/>
      <c r="K264" s="93"/>
      <c r="L264" s="90"/>
      <c r="M264" s="90"/>
      <c r="N264" s="90"/>
      <c r="Q264" s="10"/>
    </row>
    <row r="265" spans="3:17" ht="12.75">
      <c r="C265" s="92"/>
      <c r="D265" s="92"/>
      <c r="E265" s="92"/>
      <c r="F265" s="92"/>
      <c r="G265" s="92"/>
      <c r="H265" s="92"/>
      <c r="I265" s="92"/>
      <c r="J265" s="93"/>
      <c r="K265" s="93"/>
      <c r="L265" s="90"/>
      <c r="M265" s="90"/>
      <c r="N265" s="90"/>
      <c r="Q265" s="10"/>
    </row>
    <row r="266" spans="3:17" ht="12.75">
      <c r="C266" s="92"/>
      <c r="D266" s="92"/>
      <c r="E266" s="92"/>
      <c r="F266" s="92"/>
      <c r="G266" s="92"/>
      <c r="H266" s="92"/>
      <c r="I266" s="92"/>
      <c r="J266" s="93"/>
      <c r="K266" s="93"/>
      <c r="L266" s="90"/>
      <c r="M266" s="90"/>
      <c r="N266" s="90"/>
      <c r="Q266" s="10"/>
    </row>
    <row r="267" spans="3:17" ht="12.75">
      <c r="C267" s="92"/>
      <c r="D267" s="92"/>
      <c r="E267" s="92"/>
      <c r="F267" s="92"/>
      <c r="G267" s="92"/>
      <c r="H267" s="92"/>
      <c r="I267" s="92"/>
      <c r="J267" s="93"/>
      <c r="K267" s="93"/>
      <c r="L267" s="90"/>
      <c r="M267" s="90"/>
      <c r="N267" s="90"/>
      <c r="Q267" s="10"/>
    </row>
    <row r="268" spans="3:17" ht="12.75">
      <c r="C268" s="92"/>
      <c r="D268" s="92"/>
      <c r="E268" s="92"/>
      <c r="F268" s="92"/>
      <c r="G268" s="92"/>
      <c r="H268" s="92"/>
      <c r="I268" s="92"/>
      <c r="J268" s="93"/>
      <c r="K268" s="93"/>
      <c r="L268" s="90"/>
      <c r="M268" s="90"/>
      <c r="N268" s="90"/>
      <c r="Q268" s="10"/>
    </row>
    <row r="269" spans="3:17" ht="12.75">
      <c r="C269" s="92"/>
      <c r="D269" s="92"/>
      <c r="E269" s="92"/>
      <c r="F269" s="92"/>
      <c r="G269" s="92"/>
      <c r="H269" s="92"/>
      <c r="I269" s="92"/>
      <c r="J269" s="93"/>
      <c r="K269" s="93"/>
      <c r="L269" s="90"/>
      <c r="M269" s="90"/>
      <c r="N269" s="90"/>
      <c r="Q269" s="10"/>
    </row>
    <row r="270" spans="3:17" ht="12.75">
      <c r="C270" s="92"/>
      <c r="D270" s="92"/>
      <c r="E270" s="92"/>
      <c r="F270" s="92"/>
      <c r="G270" s="92"/>
      <c r="H270" s="92"/>
      <c r="I270" s="92"/>
      <c r="J270" s="93"/>
      <c r="K270" s="93"/>
      <c r="L270" s="90"/>
      <c r="M270" s="90"/>
      <c r="N270" s="90"/>
      <c r="Q270" s="10"/>
    </row>
    <row r="271" spans="3:17" ht="12.75">
      <c r="C271" s="92"/>
      <c r="D271" s="92"/>
      <c r="E271" s="92"/>
      <c r="F271" s="92"/>
      <c r="G271" s="92"/>
      <c r="H271" s="92"/>
      <c r="I271" s="92"/>
      <c r="J271" s="93"/>
      <c r="K271" s="93"/>
      <c r="L271" s="90"/>
      <c r="M271" s="90"/>
      <c r="N271" s="90"/>
      <c r="Q271" s="10"/>
    </row>
    <row r="272" spans="3:17" ht="12.75">
      <c r="C272" s="92"/>
      <c r="D272" s="92"/>
      <c r="E272" s="92"/>
      <c r="F272" s="92"/>
      <c r="G272" s="92"/>
      <c r="H272" s="92"/>
      <c r="I272" s="92"/>
      <c r="J272" s="93"/>
      <c r="K272" s="93"/>
      <c r="L272" s="90"/>
      <c r="M272" s="90"/>
      <c r="N272" s="90"/>
      <c r="Q272" s="10"/>
    </row>
    <row r="273" spans="3:17" ht="12.75">
      <c r="C273" s="92"/>
      <c r="D273" s="92"/>
      <c r="E273" s="92"/>
      <c r="F273" s="92"/>
      <c r="G273" s="92"/>
      <c r="H273" s="92"/>
      <c r="I273" s="92"/>
      <c r="J273" s="93"/>
      <c r="K273" s="93"/>
      <c r="L273" s="90"/>
      <c r="M273" s="90"/>
      <c r="N273" s="90"/>
      <c r="Q273" s="10"/>
    </row>
    <row r="274" spans="3:17" ht="12.75">
      <c r="C274" s="92"/>
      <c r="D274" s="92"/>
      <c r="E274" s="92"/>
      <c r="F274" s="92"/>
      <c r="G274" s="92"/>
      <c r="H274" s="92"/>
      <c r="I274" s="92"/>
      <c r="J274" s="93"/>
      <c r="K274" s="93"/>
      <c r="L274" s="90"/>
      <c r="M274" s="90"/>
      <c r="N274" s="90"/>
      <c r="Q274" s="10"/>
    </row>
    <row r="275" spans="3:17" ht="12.75">
      <c r="C275" s="92"/>
      <c r="D275" s="92"/>
      <c r="E275" s="92"/>
      <c r="F275" s="92"/>
      <c r="G275" s="92"/>
      <c r="H275" s="92"/>
      <c r="I275" s="92"/>
      <c r="J275" s="93"/>
      <c r="K275" s="93"/>
      <c r="L275" s="90"/>
      <c r="M275" s="90"/>
      <c r="N275" s="90"/>
      <c r="Q275" s="10"/>
    </row>
    <row r="276" spans="3:17" ht="12.75">
      <c r="C276" s="92"/>
      <c r="D276" s="92"/>
      <c r="E276" s="92"/>
      <c r="F276" s="92"/>
      <c r="G276" s="92"/>
      <c r="H276" s="92"/>
      <c r="I276" s="92"/>
      <c r="J276" s="93"/>
      <c r="K276" s="93"/>
      <c r="L276" s="90"/>
      <c r="M276" s="90"/>
      <c r="N276" s="90"/>
      <c r="Q276" s="10"/>
    </row>
    <row r="277" spans="3:17" ht="12.75">
      <c r="C277" s="92"/>
      <c r="D277" s="92"/>
      <c r="E277" s="92"/>
      <c r="F277" s="92"/>
      <c r="G277" s="92"/>
      <c r="H277" s="92"/>
      <c r="I277" s="92"/>
      <c r="J277" s="93"/>
      <c r="K277" s="93"/>
      <c r="L277" s="90"/>
      <c r="M277" s="90"/>
      <c r="N277" s="90"/>
      <c r="Q277" s="10"/>
    </row>
    <row r="278" spans="3:17" ht="12.75">
      <c r="C278" s="92"/>
      <c r="D278" s="92"/>
      <c r="E278" s="92"/>
      <c r="F278" s="92"/>
      <c r="G278" s="92"/>
      <c r="H278" s="92"/>
      <c r="I278" s="92"/>
      <c r="J278" s="93"/>
      <c r="K278" s="93"/>
      <c r="L278" s="90"/>
      <c r="M278" s="90"/>
      <c r="N278" s="90"/>
      <c r="Q278" s="10"/>
    </row>
    <row r="279" spans="3:17" ht="12.75">
      <c r="C279" s="92"/>
      <c r="D279" s="92"/>
      <c r="E279" s="92"/>
      <c r="F279" s="92"/>
      <c r="G279" s="92"/>
      <c r="H279" s="92"/>
      <c r="I279" s="92"/>
      <c r="J279" s="93"/>
      <c r="K279" s="93"/>
      <c r="L279" s="90"/>
      <c r="M279" s="90"/>
      <c r="N279" s="90"/>
      <c r="Q279" s="10"/>
    </row>
    <row r="280" spans="3:17" ht="12.75">
      <c r="C280" s="92"/>
      <c r="D280" s="92"/>
      <c r="E280" s="92"/>
      <c r="F280" s="92"/>
      <c r="G280" s="92"/>
      <c r="H280" s="92"/>
      <c r="I280" s="92"/>
      <c r="J280" s="93"/>
      <c r="K280" s="93"/>
      <c r="L280" s="90"/>
      <c r="M280" s="90"/>
      <c r="N280" s="90"/>
      <c r="Q280" s="10"/>
    </row>
    <row r="281" spans="3:17" ht="12.75">
      <c r="C281" s="92"/>
      <c r="D281" s="92"/>
      <c r="E281" s="92"/>
      <c r="F281" s="92"/>
      <c r="G281" s="92"/>
      <c r="H281" s="92"/>
      <c r="I281" s="92"/>
      <c r="J281" s="93"/>
      <c r="K281" s="93"/>
      <c r="L281" s="90"/>
      <c r="M281" s="90"/>
      <c r="N281" s="90"/>
      <c r="Q281" s="10"/>
    </row>
    <row r="282" spans="3:17" ht="12.75">
      <c r="C282" s="92"/>
      <c r="D282" s="92"/>
      <c r="E282" s="92"/>
      <c r="F282" s="92"/>
      <c r="G282" s="92"/>
      <c r="H282" s="92"/>
      <c r="I282" s="92"/>
      <c r="J282" s="93"/>
      <c r="K282" s="93"/>
      <c r="L282" s="90"/>
      <c r="M282" s="90"/>
      <c r="N282" s="90"/>
      <c r="Q282" s="10"/>
    </row>
    <row r="283" spans="3:17" ht="12.75">
      <c r="C283" s="92"/>
      <c r="D283" s="92"/>
      <c r="E283" s="92"/>
      <c r="F283" s="92"/>
      <c r="G283" s="92"/>
      <c r="H283" s="92"/>
      <c r="I283" s="92"/>
      <c r="J283" s="93"/>
      <c r="K283" s="93"/>
      <c r="L283" s="90"/>
      <c r="M283" s="90"/>
      <c r="N283" s="90"/>
      <c r="Q283" s="10"/>
    </row>
    <row r="284" spans="3:17" ht="12.75">
      <c r="C284" s="92"/>
      <c r="D284" s="92"/>
      <c r="E284" s="92"/>
      <c r="F284" s="92"/>
      <c r="G284" s="92"/>
      <c r="H284" s="92"/>
      <c r="I284" s="92"/>
      <c r="J284" s="93"/>
      <c r="K284" s="93"/>
      <c r="L284" s="90"/>
      <c r="M284" s="90"/>
      <c r="N284" s="90"/>
      <c r="Q284" s="10"/>
    </row>
    <row r="285" spans="3:17" ht="12.75">
      <c r="C285" s="92"/>
      <c r="D285" s="92"/>
      <c r="E285" s="92"/>
      <c r="F285" s="92"/>
      <c r="G285" s="92"/>
      <c r="H285" s="92"/>
      <c r="I285" s="92"/>
      <c r="J285" s="93"/>
      <c r="K285" s="93"/>
      <c r="L285" s="90"/>
      <c r="M285" s="90"/>
      <c r="N285" s="90"/>
      <c r="Q285" s="10"/>
    </row>
    <row r="286" spans="3:17" ht="12.75">
      <c r="C286" s="92"/>
      <c r="D286" s="92"/>
      <c r="E286" s="92"/>
      <c r="F286" s="92"/>
      <c r="G286" s="92"/>
      <c r="H286" s="92"/>
      <c r="I286" s="92"/>
      <c r="J286" s="93"/>
      <c r="K286" s="93"/>
      <c r="L286" s="90"/>
      <c r="M286" s="90"/>
      <c r="N286" s="90"/>
      <c r="Q286" s="10"/>
    </row>
    <row r="287" spans="3:17" ht="12.75">
      <c r="C287" s="92"/>
      <c r="D287" s="92"/>
      <c r="E287" s="92"/>
      <c r="F287" s="92"/>
      <c r="G287" s="92"/>
      <c r="H287" s="92"/>
      <c r="I287" s="92"/>
      <c r="J287" s="93"/>
      <c r="K287" s="93"/>
      <c r="L287" s="90"/>
      <c r="M287" s="90"/>
      <c r="N287" s="90"/>
      <c r="Q287" s="10"/>
    </row>
    <row r="288" spans="3:17" ht="12.75">
      <c r="C288" s="92"/>
      <c r="D288" s="92"/>
      <c r="E288" s="92"/>
      <c r="F288" s="92"/>
      <c r="G288" s="92"/>
      <c r="H288" s="92"/>
      <c r="I288" s="92"/>
      <c r="J288" s="93"/>
      <c r="K288" s="93"/>
      <c r="L288" s="90"/>
      <c r="M288" s="90"/>
      <c r="N288" s="90"/>
      <c r="Q288" s="10"/>
    </row>
    <row r="289" spans="3:17" ht="12.75">
      <c r="C289" s="92"/>
      <c r="D289" s="92"/>
      <c r="E289" s="92"/>
      <c r="F289" s="92"/>
      <c r="G289" s="92"/>
      <c r="H289" s="92"/>
      <c r="I289" s="92"/>
      <c r="J289" s="93"/>
      <c r="K289" s="93"/>
      <c r="L289" s="90"/>
      <c r="M289" s="90"/>
      <c r="N289" s="90"/>
      <c r="Q289" s="10"/>
    </row>
    <row r="290" spans="3:17" ht="12.75">
      <c r="C290" s="92"/>
      <c r="D290" s="92"/>
      <c r="E290" s="92"/>
      <c r="F290" s="92"/>
      <c r="G290" s="92"/>
      <c r="H290" s="92"/>
      <c r="I290" s="92"/>
      <c r="J290" s="93"/>
      <c r="K290" s="93"/>
      <c r="L290" s="90"/>
      <c r="M290" s="90"/>
      <c r="N290" s="90"/>
      <c r="Q290" s="10"/>
    </row>
    <row r="291" spans="3:17" ht="12.75">
      <c r="C291" s="92"/>
      <c r="D291" s="92"/>
      <c r="E291" s="92"/>
      <c r="F291" s="92"/>
      <c r="G291" s="92"/>
      <c r="H291" s="92"/>
      <c r="I291" s="92"/>
      <c r="J291" s="93"/>
      <c r="K291" s="93"/>
      <c r="L291" s="90"/>
      <c r="M291" s="90"/>
      <c r="N291" s="90"/>
      <c r="Q291" s="10"/>
    </row>
    <row r="292" spans="3:17" ht="12.75">
      <c r="C292" s="92"/>
      <c r="D292" s="92"/>
      <c r="E292" s="92"/>
      <c r="F292" s="92"/>
      <c r="G292" s="92"/>
      <c r="H292" s="92"/>
      <c r="I292" s="92"/>
      <c r="J292" s="93"/>
      <c r="K292" s="93"/>
      <c r="L292" s="90"/>
      <c r="M292" s="90"/>
      <c r="N292" s="90"/>
      <c r="Q292" s="10"/>
    </row>
    <row r="293" spans="3:17" ht="12.75">
      <c r="C293" s="92"/>
      <c r="D293" s="92"/>
      <c r="E293" s="92"/>
      <c r="F293" s="92"/>
      <c r="G293" s="92"/>
      <c r="H293" s="92"/>
      <c r="I293" s="92"/>
      <c r="J293" s="93"/>
      <c r="K293" s="93"/>
      <c r="L293" s="90"/>
      <c r="M293" s="90"/>
      <c r="N293" s="90"/>
      <c r="Q293" s="10"/>
    </row>
    <row r="294" spans="3:17" ht="12.75">
      <c r="C294" s="92"/>
      <c r="D294" s="92"/>
      <c r="E294" s="92"/>
      <c r="F294" s="92"/>
      <c r="G294" s="92"/>
      <c r="H294" s="92"/>
      <c r="I294" s="92"/>
      <c r="J294" s="93"/>
      <c r="K294" s="93"/>
      <c r="L294" s="90"/>
      <c r="M294" s="90"/>
      <c r="N294" s="90"/>
      <c r="Q294" s="10"/>
    </row>
    <row r="295" spans="3:17" ht="12.75">
      <c r="C295" s="92"/>
      <c r="D295" s="92"/>
      <c r="E295" s="92"/>
      <c r="F295" s="92"/>
      <c r="G295" s="92"/>
      <c r="H295" s="92"/>
      <c r="I295" s="92"/>
      <c r="J295" s="93"/>
      <c r="K295" s="93"/>
      <c r="L295" s="90"/>
      <c r="M295" s="90"/>
      <c r="N295" s="90"/>
      <c r="Q295" s="10"/>
    </row>
    <row r="296" spans="3:17" ht="12.75">
      <c r="C296" s="92"/>
      <c r="D296" s="92"/>
      <c r="E296" s="92"/>
      <c r="F296" s="92"/>
      <c r="G296" s="92"/>
      <c r="H296" s="92"/>
      <c r="I296" s="92"/>
      <c r="J296" s="93"/>
      <c r="K296" s="93"/>
      <c r="L296" s="90"/>
      <c r="M296" s="90"/>
      <c r="N296" s="90"/>
      <c r="Q296" s="10"/>
    </row>
    <row r="297" spans="3:17" ht="12.75">
      <c r="C297" s="92"/>
      <c r="D297" s="92"/>
      <c r="E297" s="92"/>
      <c r="F297" s="92"/>
      <c r="G297" s="92"/>
      <c r="H297" s="92"/>
      <c r="I297" s="92"/>
      <c r="J297" s="93"/>
      <c r="K297" s="93"/>
      <c r="L297" s="90"/>
      <c r="M297" s="90"/>
      <c r="N297" s="90"/>
      <c r="Q297" s="10"/>
    </row>
    <row r="298" spans="3:17" ht="12.75">
      <c r="C298" s="92"/>
      <c r="D298" s="92"/>
      <c r="E298" s="92"/>
      <c r="F298" s="92"/>
      <c r="G298" s="92"/>
      <c r="H298" s="92"/>
      <c r="I298" s="92"/>
      <c r="J298" s="93"/>
      <c r="K298" s="93"/>
      <c r="L298" s="90"/>
      <c r="M298" s="90"/>
      <c r="N298" s="90"/>
      <c r="Q298" s="10"/>
    </row>
    <row r="299" spans="3:17" ht="12.75">
      <c r="C299" s="92"/>
      <c r="D299" s="92"/>
      <c r="E299" s="92"/>
      <c r="F299" s="92"/>
      <c r="G299" s="92"/>
      <c r="H299" s="92"/>
      <c r="I299" s="92"/>
      <c r="J299" s="93"/>
      <c r="K299" s="93"/>
      <c r="L299" s="90"/>
      <c r="M299" s="90"/>
      <c r="N299" s="90"/>
      <c r="Q299" s="10"/>
    </row>
    <row r="300" spans="3:17" ht="12.75">
      <c r="C300" s="92"/>
      <c r="D300" s="92"/>
      <c r="E300" s="92"/>
      <c r="F300" s="92"/>
      <c r="G300" s="92"/>
      <c r="H300" s="92"/>
      <c r="I300" s="92"/>
      <c r="J300" s="93"/>
      <c r="K300" s="93"/>
      <c r="L300" s="90"/>
      <c r="M300" s="90"/>
      <c r="N300" s="90"/>
      <c r="Q300" s="10"/>
    </row>
    <row r="301" spans="3:17" ht="12.75">
      <c r="C301" s="92"/>
      <c r="D301" s="92"/>
      <c r="E301" s="92"/>
      <c r="F301" s="92"/>
      <c r="G301" s="92"/>
      <c r="H301" s="92"/>
      <c r="I301" s="92"/>
      <c r="J301" s="93"/>
      <c r="K301" s="93"/>
      <c r="L301" s="90"/>
      <c r="M301" s="90"/>
      <c r="N301" s="90"/>
      <c r="Q301" s="10"/>
    </row>
    <row r="302" spans="3:17" ht="12.75">
      <c r="C302" s="92"/>
      <c r="D302" s="92"/>
      <c r="E302" s="92"/>
      <c r="F302" s="92"/>
      <c r="G302" s="92"/>
      <c r="H302" s="92"/>
      <c r="I302" s="92"/>
      <c r="J302" s="93"/>
      <c r="K302" s="93"/>
      <c r="L302" s="90"/>
      <c r="M302" s="90"/>
      <c r="N302" s="90"/>
      <c r="Q302" s="10"/>
    </row>
    <row r="303" spans="3:17" ht="12.75">
      <c r="C303" s="92"/>
      <c r="D303" s="92"/>
      <c r="E303" s="92"/>
      <c r="F303" s="92"/>
      <c r="G303" s="92"/>
      <c r="H303" s="92"/>
      <c r="I303" s="92"/>
      <c r="J303" s="93"/>
      <c r="K303" s="93"/>
      <c r="L303" s="90"/>
      <c r="M303" s="90"/>
      <c r="N303" s="90"/>
      <c r="Q303" s="10"/>
    </row>
    <row r="304" spans="3:17" ht="12.75">
      <c r="C304" s="92"/>
      <c r="D304" s="92"/>
      <c r="E304" s="92"/>
      <c r="F304" s="92"/>
      <c r="G304" s="92"/>
      <c r="H304" s="92"/>
      <c r="I304" s="92"/>
      <c r="J304" s="93"/>
      <c r="K304" s="93"/>
      <c r="L304" s="90"/>
      <c r="M304" s="90"/>
      <c r="N304" s="90"/>
      <c r="Q304" s="10"/>
    </row>
    <row r="305" spans="3:17" ht="12.75">
      <c r="C305" s="92"/>
      <c r="D305" s="92"/>
      <c r="E305" s="92"/>
      <c r="F305" s="92"/>
      <c r="G305" s="92"/>
      <c r="H305" s="92"/>
      <c r="I305" s="92"/>
      <c r="J305" s="93"/>
      <c r="K305" s="93"/>
      <c r="L305" s="90"/>
      <c r="M305" s="90"/>
      <c r="N305" s="90"/>
      <c r="Q305" s="10"/>
    </row>
    <row r="306" spans="3:17" ht="12.75">
      <c r="C306" s="92"/>
      <c r="D306" s="92"/>
      <c r="E306" s="92"/>
      <c r="F306" s="92"/>
      <c r="G306" s="92"/>
      <c r="H306" s="92"/>
      <c r="I306" s="92"/>
      <c r="J306" s="93"/>
      <c r="K306" s="93"/>
      <c r="L306" s="90"/>
      <c r="M306" s="90"/>
      <c r="N306" s="90"/>
      <c r="Q306" s="10"/>
    </row>
    <row r="307" spans="3:17" ht="12.75">
      <c r="C307" s="92"/>
      <c r="D307" s="92"/>
      <c r="E307" s="92"/>
      <c r="F307" s="92"/>
      <c r="G307" s="92"/>
      <c r="H307" s="92"/>
      <c r="I307" s="92"/>
      <c r="J307" s="93"/>
      <c r="K307" s="93"/>
      <c r="L307" s="90"/>
      <c r="M307" s="90"/>
      <c r="N307" s="90"/>
      <c r="Q307" s="10"/>
    </row>
    <row r="308" spans="3:17" ht="12.75">
      <c r="C308" s="92"/>
      <c r="D308" s="92"/>
      <c r="E308" s="92"/>
      <c r="F308" s="92"/>
      <c r="G308" s="92"/>
      <c r="H308" s="92"/>
      <c r="I308" s="92"/>
      <c r="J308" s="93"/>
      <c r="K308" s="93"/>
      <c r="L308" s="90"/>
      <c r="M308" s="90"/>
      <c r="N308" s="90"/>
      <c r="Q308" s="10"/>
    </row>
    <row r="309" spans="3:17" ht="12.75">
      <c r="C309" s="92"/>
      <c r="D309" s="92"/>
      <c r="E309" s="92"/>
      <c r="F309" s="92"/>
      <c r="G309" s="92"/>
      <c r="H309" s="92"/>
      <c r="I309" s="92"/>
      <c r="J309" s="93"/>
      <c r="K309" s="93"/>
      <c r="L309" s="90"/>
      <c r="M309" s="90"/>
      <c r="N309" s="90"/>
      <c r="Q309" s="10"/>
    </row>
    <row r="310" spans="3:17" ht="12.75">
      <c r="C310" s="92"/>
      <c r="D310" s="92"/>
      <c r="E310" s="92"/>
      <c r="F310" s="92"/>
      <c r="G310" s="92"/>
      <c r="H310" s="92"/>
      <c r="I310" s="92"/>
      <c r="J310" s="93"/>
      <c r="K310" s="93"/>
      <c r="L310" s="90"/>
      <c r="M310" s="90"/>
      <c r="N310" s="90"/>
      <c r="Q310" s="10"/>
    </row>
    <row r="311" spans="3:17" ht="12.75">
      <c r="C311" s="92"/>
      <c r="D311" s="92"/>
      <c r="E311" s="92"/>
      <c r="F311" s="92"/>
      <c r="G311" s="92"/>
      <c r="H311" s="92"/>
      <c r="I311" s="92"/>
      <c r="J311" s="93"/>
      <c r="K311" s="93"/>
      <c r="L311" s="90"/>
      <c r="M311" s="90"/>
      <c r="N311" s="90"/>
      <c r="Q311" s="10"/>
    </row>
    <row r="312" spans="3:17" ht="12.75">
      <c r="C312" s="92"/>
      <c r="D312" s="92"/>
      <c r="E312" s="92"/>
      <c r="F312" s="92"/>
      <c r="G312" s="92"/>
      <c r="H312" s="92"/>
      <c r="I312" s="92"/>
      <c r="J312" s="93"/>
      <c r="K312" s="93"/>
      <c r="L312" s="90"/>
      <c r="M312" s="90"/>
      <c r="N312" s="90"/>
      <c r="Q312" s="10"/>
    </row>
    <row r="313" spans="3:17" ht="12.75">
      <c r="C313" s="92"/>
      <c r="D313" s="92"/>
      <c r="E313" s="92"/>
      <c r="F313" s="92"/>
      <c r="G313" s="92"/>
      <c r="H313" s="92"/>
      <c r="I313" s="92"/>
      <c r="J313" s="93"/>
      <c r="K313" s="93"/>
      <c r="L313" s="90"/>
      <c r="M313" s="90"/>
      <c r="N313" s="90"/>
      <c r="Q313" s="10"/>
    </row>
    <row r="314" spans="3:17" ht="12.75">
      <c r="C314" s="92"/>
      <c r="D314" s="92"/>
      <c r="E314" s="92"/>
      <c r="F314" s="92"/>
      <c r="G314" s="92"/>
      <c r="H314" s="92"/>
      <c r="I314" s="92"/>
      <c r="J314" s="93"/>
      <c r="K314" s="93"/>
      <c r="L314" s="90"/>
      <c r="M314" s="90"/>
      <c r="N314" s="90"/>
      <c r="Q314" s="10"/>
    </row>
    <row r="315" spans="3:17" ht="12.75">
      <c r="C315" s="92"/>
      <c r="D315" s="92"/>
      <c r="E315" s="92"/>
      <c r="F315" s="92"/>
      <c r="G315" s="92"/>
      <c r="H315" s="92"/>
      <c r="I315" s="92"/>
      <c r="J315" s="93"/>
      <c r="K315" s="93"/>
      <c r="L315" s="90"/>
      <c r="M315" s="90"/>
      <c r="N315" s="90"/>
      <c r="Q315" s="10"/>
    </row>
    <row r="316" spans="3:17" ht="12.75">
      <c r="C316" s="92"/>
      <c r="D316" s="92"/>
      <c r="E316" s="92"/>
      <c r="F316" s="92"/>
      <c r="G316" s="92"/>
      <c r="H316" s="92"/>
      <c r="I316" s="92"/>
      <c r="J316" s="93"/>
      <c r="K316" s="93"/>
      <c r="L316" s="90"/>
      <c r="M316" s="90"/>
      <c r="N316" s="90"/>
      <c r="Q316" s="10"/>
    </row>
    <row r="317" spans="3:17" ht="12.75">
      <c r="C317" s="92"/>
      <c r="D317" s="92"/>
      <c r="E317" s="92"/>
      <c r="F317" s="92"/>
      <c r="G317" s="92"/>
      <c r="H317" s="92"/>
      <c r="I317" s="92"/>
      <c r="J317" s="93"/>
      <c r="K317" s="93"/>
      <c r="L317" s="90"/>
      <c r="M317" s="90"/>
      <c r="N317" s="90"/>
      <c r="Q317" s="10"/>
    </row>
    <row r="318" spans="3:17" ht="12.75">
      <c r="C318" s="92"/>
      <c r="D318" s="92"/>
      <c r="E318" s="92"/>
      <c r="F318" s="92"/>
      <c r="G318" s="92"/>
      <c r="H318" s="92"/>
      <c r="I318" s="92"/>
      <c r="J318" s="93"/>
      <c r="K318" s="93"/>
      <c r="L318" s="90"/>
      <c r="M318" s="90"/>
      <c r="N318" s="90"/>
      <c r="Q318" s="10"/>
    </row>
    <row r="319" spans="3:17" ht="12.75">
      <c r="C319" s="92"/>
      <c r="D319" s="92"/>
      <c r="E319" s="92"/>
      <c r="F319" s="92"/>
      <c r="G319" s="92"/>
      <c r="H319" s="92"/>
      <c r="I319" s="92"/>
      <c r="J319" s="93"/>
      <c r="K319" s="93"/>
      <c r="L319" s="90"/>
      <c r="M319" s="90"/>
      <c r="N319" s="90"/>
      <c r="Q319" s="10"/>
    </row>
    <row r="320" spans="3:17" ht="12.75">
      <c r="C320" s="92"/>
      <c r="D320" s="92"/>
      <c r="E320" s="92"/>
      <c r="F320" s="92"/>
      <c r="G320" s="92"/>
      <c r="H320" s="92"/>
      <c r="I320" s="92"/>
      <c r="J320" s="93"/>
      <c r="K320" s="93"/>
      <c r="L320" s="90"/>
      <c r="M320" s="90"/>
      <c r="N320" s="90"/>
      <c r="Q320" s="10"/>
    </row>
    <row r="321" spans="3:17" ht="12.75">
      <c r="C321" s="92"/>
      <c r="D321" s="92"/>
      <c r="E321" s="92"/>
      <c r="F321" s="92"/>
      <c r="G321" s="92"/>
      <c r="H321" s="92"/>
      <c r="I321" s="92"/>
      <c r="J321" s="93"/>
      <c r="K321" s="93"/>
      <c r="L321" s="90"/>
      <c r="M321" s="90"/>
      <c r="N321" s="90"/>
      <c r="Q321" s="10"/>
    </row>
    <row r="322" spans="3:17" ht="12.75">
      <c r="C322" s="92"/>
      <c r="D322" s="92"/>
      <c r="E322" s="92"/>
      <c r="F322" s="92"/>
      <c r="G322" s="92"/>
      <c r="H322" s="92"/>
      <c r="I322" s="92"/>
      <c r="J322" s="93"/>
      <c r="K322" s="93"/>
      <c r="L322" s="90"/>
      <c r="M322" s="90"/>
      <c r="N322" s="90"/>
      <c r="Q322" s="10"/>
    </row>
    <row r="323" spans="3:17" ht="12.75">
      <c r="C323" s="92"/>
      <c r="D323" s="92"/>
      <c r="E323" s="92"/>
      <c r="F323" s="92"/>
      <c r="G323" s="92"/>
      <c r="H323" s="92"/>
      <c r="I323" s="92"/>
      <c r="J323" s="93"/>
      <c r="K323" s="93"/>
      <c r="L323" s="90"/>
      <c r="M323" s="90"/>
      <c r="N323" s="90"/>
      <c r="Q323" s="10"/>
    </row>
    <row r="324" spans="3:17" ht="12.75">
      <c r="C324" s="92"/>
      <c r="D324" s="92"/>
      <c r="E324" s="92"/>
      <c r="F324" s="92"/>
      <c r="G324" s="92"/>
      <c r="H324" s="92"/>
      <c r="I324" s="92"/>
      <c r="J324" s="93"/>
      <c r="K324" s="93"/>
      <c r="L324" s="90"/>
      <c r="M324" s="90"/>
      <c r="N324" s="90"/>
      <c r="Q324" s="10"/>
    </row>
    <row r="325" spans="3:17" ht="12.75">
      <c r="C325" s="92"/>
      <c r="D325" s="92"/>
      <c r="E325" s="92"/>
      <c r="F325" s="92"/>
      <c r="G325" s="92"/>
      <c r="H325" s="92"/>
      <c r="I325" s="92"/>
      <c r="J325" s="93"/>
      <c r="K325" s="93"/>
      <c r="L325" s="90"/>
      <c r="M325" s="90"/>
      <c r="N325" s="90"/>
      <c r="Q325" s="10"/>
    </row>
    <row r="326" spans="3:17" ht="12.75">
      <c r="C326" s="92"/>
      <c r="D326" s="92"/>
      <c r="E326" s="92"/>
      <c r="F326" s="92"/>
      <c r="G326" s="92"/>
      <c r="H326" s="92"/>
      <c r="I326" s="92"/>
      <c r="J326" s="93"/>
      <c r="K326" s="93"/>
      <c r="L326" s="90"/>
      <c r="M326" s="90"/>
      <c r="N326" s="90"/>
      <c r="Q326" s="10"/>
    </row>
    <row r="327" spans="3:17" ht="12.75">
      <c r="C327" s="92"/>
      <c r="D327" s="92"/>
      <c r="E327" s="92"/>
      <c r="F327" s="92"/>
      <c r="G327" s="92"/>
      <c r="H327" s="92"/>
      <c r="I327" s="92"/>
      <c r="J327" s="93"/>
      <c r="K327" s="93"/>
      <c r="L327" s="90"/>
      <c r="M327" s="90"/>
      <c r="N327" s="90"/>
      <c r="Q327" s="10"/>
    </row>
    <row r="328" spans="3:17" ht="12.75">
      <c r="C328" s="92"/>
      <c r="D328" s="92"/>
      <c r="E328" s="92"/>
      <c r="F328" s="92"/>
      <c r="G328" s="92"/>
      <c r="H328" s="92"/>
      <c r="I328" s="92"/>
      <c r="J328" s="93"/>
      <c r="K328" s="93"/>
      <c r="L328" s="90"/>
      <c r="M328" s="90"/>
      <c r="N328" s="90"/>
      <c r="Q328" s="10"/>
    </row>
    <row r="329" spans="3:17" ht="12.75">
      <c r="C329" s="92"/>
      <c r="D329" s="92"/>
      <c r="E329" s="92"/>
      <c r="F329" s="92"/>
      <c r="G329" s="92"/>
      <c r="H329" s="92"/>
      <c r="I329" s="92"/>
      <c r="J329" s="93"/>
      <c r="K329" s="93"/>
      <c r="L329" s="90"/>
      <c r="M329" s="90"/>
      <c r="N329" s="90"/>
      <c r="Q329" s="10"/>
    </row>
    <row r="330" spans="3:17" ht="12.75">
      <c r="C330" s="92"/>
      <c r="D330" s="92"/>
      <c r="E330" s="92"/>
      <c r="F330" s="92"/>
      <c r="G330" s="92"/>
      <c r="H330" s="92"/>
      <c r="I330" s="92"/>
      <c r="J330" s="93"/>
      <c r="K330" s="93"/>
      <c r="L330" s="90"/>
      <c r="M330" s="90"/>
      <c r="N330" s="90"/>
      <c r="Q330" s="10"/>
    </row>
    <row r="331" spans="3:17" ht="12.75">
      <c r="C331" s="92"/>
      <c r="D331" s="92"/>
      <c r="E331" s="92"/>
      <c r="F331" s="92"/>
      <c r="G331" s="92"/>
      <c r="H331" s="92"/>
      <c r="I331" s="92"/>
      <c r="J331" s="93"/>
      <c r="K331" s="93"/>
      <c r="L331" s="90"/>
      <c r="M331" s="90"/>
      <c r="N331" s="90"/>
      <c r="Q331" s="10"/>
    </row>
    <row r="332" spans="3:17" ht="12.75">
      <c r="C332" s="92"/>
      <c r="D332" s="92"/>
      <c r="E332" s="92"/>
      <c r="F332" s="92"/>
      <c r="G332" s="92"/>
      <c r="H332" s="92"/>
      <c r="I332" s="92"/>
      <c r="J332" s="93"/>
      <c r="K332" s="93"/>
      <c r="L332" s="90"/>
      <c r="M332" s="90"/>
      <c r="N332" s="90"/>
      <c r="Q332" s="10"/>
    </row>
    <row r="333" spans="3:17" ht="12.75">
      <c r="C333" s="92"/>
      <c r="D333" s="92"/>
      <c r="E333" s="92"/>
      <c r="F333" s="92"/>
      <c r="G333" s="92"/>
      <c r="H333" s="92"/>
      <c r="I333" s="92"/>
      <c r="J333" s="93"/>
      <c r="K333" s="93"/>
      <c r="L333" s="90"/>
      <c r="M333" s="90"/>
      <c r="N333" s="90"/>
      <c r="Q333" s="10"/>
    </row>
    <row r="334" spans="3:17" ht="12.75">
      <c r="C334" s="92"/>
      <c r="D334" s="92"/>
      <c r="E334" s="92"/>
      <c r="F334" s="92"/>
      <c r="G334" s="92"/>
      <c r="H334" s="92"/>
      <c r="I334" s="92"/>
      <c r="J334" s="93"/>
      <c r="K334" s="93"/>
      <c r="L334" s="90"/>
      <c r="M334" s="90"/>
      <c r="N334" s="90"/>
      <c r="Q334" s="10"/>
    </row>
    <row r="335" spans="3:17" ht="12.75">
      <c r="C335" s="92"/>
      <c r="D335" s="92"/>
      <c r="E335" s="92"/>
      <c r="F335" s="92"/>
      <c r="G335" s="92"/>
      <c r="H335" s="92"/>
      <c r="I335" s="92"/>
      <c r="J335" s="93"/>
      <c r="K335" s="93"/>
      <c r="L335" s="90"/>
      <c r="M335" s="90"/>
      <c r="N335" s="90"/>
      <c r="Q335" s="10"/>
    </row>
    <row r="336" spans="3:17" ht="12.75">
      <c r="C336" s="92"/>
      <c r="D336" s="92"/>
      <c r="E336" s="92"/>
      <c r="F336" s="92"/>
      <c r="G336" s="92"/>
      <c r="H336" s="92"/>
      <c r="I336" s="92"/>
      <c r="J336" s="93"/>
      <c r="K336" s="93"/>
      <c r="L336" s="90"/>
      <c r="M336" s="90"/>
      <c r="N336" s="90"/>
      <c r="Q336" s="10"/>
    </row>
    <row r="337" spans="3:17" ht="12.75">
      <c r="C337" s="92"/>
      <c r="D337" s="92"/>
      <c r="E337" s="92"/>
      <c r="F337" s="92"/>
      <c r="G337" s="92"/>
      <c r="H337" s="92"/>
      <c r="I337" s="92"/>
      <c r="J337" s="93"/>
      <c r="K337" s="93"/>
      <c r="L337" s="90"/>
      <c r="M337" s="90"/>
      <c r="N337" s="90"/>
      <c r="Q337" s="10"/>
    </row>
    <row r="338" spans="3:17" ht="12.75">
      <c r="C338" s="92"/>
      <c r="D338" s="92"/>
      <c r="E338" s="92"/>
      <c r="F338" s="92"/>
      <c r="G338" s="92"/>
      <c r="H338" s="92"/>
      <c r="I338" s="92"/>
      <c r="J338" s="93"/>
      <c r="K338" s="93"/>
      <c r="L338" s="90"/>
      <c r="M338" s="90"/>
      <c r="N338" s="90"/>
      <c r="Q338" s="10"/>
    </row>
    <row r="339" spans="3:17" ht="12.75">
      <c r="C339" s="92"/>
      <c r="D339" s="92"/>
      <c r="E339" s="92"/>
      <c r="F339" s="92"/>
      <c r="G339" s="92"/>
      <c r="H339" s="92"/>
      <c r="I339" s="92"/>
      <c r="J339" s="93"/>
      <c r="K339" s="93"/>
      <c r="L339" s="90"/>
      <c r="M339" s="90"/>
      <c r="N339" s="90"/>
      <c r="Q339" s="10"/>
    </row>
    <row r="340" spans="3:17" ht="12.75">
      <c r="C340" s="92"/>
      <c r="D340" s="92"/>
      <c r="E340" s="92"/>
      <c r="F340" s="92"/>
      <c r="G340" s="92"/>
      <c r="H340" s="92"/>
      <c r="I340" s="92"/>
      <c r="J340" s="93"/>
      <c r="K340" s="93"/>
      <c r="L340" s="90"/>
      <c r="M340" s="90"/>
      <c r="N340" s="90"/>
      <c r="Q340" s="10"/>
    </row>
    <row r="341" spans="3:17" ht="12.75">
      <c r="C341" s="92"/>
      <c r="D341" s="92"/>
      <c r="E341" s="92"/>
      <c r="F341" s="92"/>
      <c r="G341" s="92"/>
      <c r="H341" s="92"/>
      <c r="I341" s="92"/>
      <c r="J341" s="93"/>
      <c r="K341" s="93"/>
      <c r="L341" s="90"/>
      <c r="M341" s="90"/>
      <c r="N341" s="90"/>
      <c r="Q341" s="10"/>
    </row>
    <row r="342" spans="3:17" ht="12.75">
      <c r="C342" s="92"/>
      <c r="D342" s="92"/>
      <c r="E342" s="92"/>
      <c r="F342" s="92"/>
      <c r="G342" s="92"/>
      <c r="H342" s="92"/>
      <c r="I342" s="92"/>
      <c r="J342" s="93"/>
      <c r="K342" s="93"/>
      <c r="L342" s="90"/>
      <c r="M342" s="90"/>
      <c r="N342" s="90"/>
      <c r="Q342" s="10"/>
    </row>
    <row r="343" spans="3:17" ht="12.75">
      <c r="C343" s="92"/>
      <c r="D343" s="92"/>
      <c r="E343" s="92"/>
      <c r="F343" s="92"/>
      <c r="G343" s="92"/>
      <c r="H343" s="92"/>
      <c r="I343" s="92"/>
      <c r="J343" s="93"/>
      <c r="K343" s="93"/>
      <c r="L343" s="90"/>
      <c r="M343" s="90"/>
      <c r="N343" s="90"/>
      <c r="Q343" s="10"/>
    </row>
    <row r="344" spans="3:17" ht="12.75">
      <c r="C344" s="92"/>
      <c r="D344" s="92"/>
      <c r="E344" s="92"/>
      <c r="F344" s="92"/>
      <c r="G344" s="92"/>
      <c r="H344" s="92"/>
      <c r="I344" s="92"/>
      <c r="J344" s="93"/>
      <c r="K344" s="93"/>
      <c r="L344" s="90"/>
      <c r="M344" s="90"/>
      <c r="N344" s="90"/>
      <c r="Q344" s="10"/>
    </row>
    <row r="345" spans="3:17" ht="12.75">
      <c r="C345" s="92"/>
      <c r="D345" s="92"/>
      <c r="E345" s="92"/>
      <c r="F345" s="92"/>
      <c r="G345" s="92"/>
      <c r="H345" s="92"/>
      <c r="I345" s="92"/>
      <c r="J345" s="93"/>
      <c r="K345" s="93"/>
      <c r="L345" s="90"/>
      <c r="M345" s="90"/>
      <c r="N345" s="90"/>
      <c r="Q345" s="10"/>
    </row>
    <row r="346" spans="3:17" ht="12.75">
      <c r="C346" s="92"/>
      <c r="D346" s="92"/>
      <c r="E346" s="92"/>
      <c r="F346" s="92"/>
      <c r="G346" s="92"/>
      <c r="H346" s="92"/>
      <c r="I346" s="92"/>
      <c r="J346" s="93"/>
      <c r="K346" s="93"/>
      <c r="L346" s="90"/>
      <c r="M346" s="90"/>
      <c r="N346" s="90"/>
      <c r="Q346" s="10"/>
    </row>
    <row r="347" spans="3:17" ht="12.75">
      <c r="C347" s="92"/>
      <c r="D347" s="92"/>
      <c r="E347" s="92"/>
      <c r="F347" s="92"/>
      <c r="G347" s="92"/>
      <c r="H347" s="92"/>
      <c r="I347" s="92"/>
      <c r="J347" s="93"/>
      <c r="K347" s="93"/>
      <c r="L347" s="90"/>
      <c r="M347" s="90"/>
      <c r="N347" s="90"/>
      <c r="Q347" s="10"/>
    </row>
    <row r="348" spans="3:17" ht="12.75">
      <c r="C348" s="92"/>
      <c r="D348" s="92"/>
      <c r="E348" s="92"/>
      <c r="F348" s="92"/>
      <c r="G348" s="92"/>
      <c r="H348" s="92"/>
      <c r="I348" s="92"/>
      <c r="J348" s="93"/>
      <c r="K348" s="93"/>
      <c r="L348" s="90"/>
      <c r="M348" s="90"/>
      <c r="N348" s="90"/>
      <c r="Q348" s="10"/>
    </row>
    <row r="349" spans="3:17" ht="12.75">
      <c r="C349" s="92"/>
      <c r="D349" s="92"/>
      <c r="E349" s="92"/>
      <c r="F349" s="92"/>
      <c r="G349" s="92"/>
      <c r="H349" s="92"/>
      <c r="I349" s="92"/>
      <c r="J349" s="93"/>
      <c r="K349" s="93"/>
      <c r="L349" s="90"/>
      <c r="M349" s="90"/>
      <c r="N349" s="90"/>
      <c r="Q349" s="10"/>
    </row>
    <row r="350" spans="3:17" ht="12.75">
      <c r="C350" s="92"/>
      <c r="D350" s="92"/>
      <c r="E350" s="92"/>
      <c r="F350" s="92"/>
      <c r="G350" s="92"/>
      <c r="H350" s="92"/>
      <c r="I350" s="92"/>
      <c r="J350" s="93"/>
      <c r="K350" s="93"/>
      <c r="L350" s="90"/>
      <c r="M350" s="90"/>
      <c r="N350" s="90"/>
      <c r="Q350" s="10"/>
    </row>
    <row r="351" spans="3:17" ht="12.75">
      <c r="C351" s="92"/>
      <c r="D351" s="92"/>
      <c r="E351" s="92"/>
      <c r="F351" s="92"/>
      <c r="G351" s="92"/>
      <c r="H351" s="92"/>
      <c r="I351" s="92"/>
      <c r="J351" s="93"/>
      <c r="K351" s="93"/>
      <c r="L351" s="90"/>
      <c r="M351" s="90"/>
      <c r="N351" s="90"/>
      <c r="Q351" s="10"/>
    </row>
    <row r="352" spans="3:17" ht="12.75">
      <c r="C352" s="92"/>
      <c r="D352" s="92"/>
      <c r="E352" s="92"/>
      <c r="F352" s="92"/>
      <c r="G352" s="92"/>
      <c r="H352" s="92"/>
      <c r="I352" s="92"/>
      <c r="J352" s="93"/>
      <c r="K352" s="93"/>
      <c r="L352" s="90"/>
      <c r="M352" s="90"/>
      <c r="N352" s="90"/>
      <c r="Q352" s="10"/>
    </row>
    <row r="353" spans="3:17" ht="12.75">
      <c r="C353" s="92"/>
      <c r="D353" s="92"/>
      <c r="E353" s="92"/>
      <c r="F353" s="92"/>
      <c r="G353" s="92"/>
      <c r="H353" s="92"/>
      <c r="I353" s="92"/>
      <c r="J353" s="93"/>
      <c r="K353" s="93"/>
      <c r="L353" s="90"/>
      <c r="M353" s="90"/>
      <c r="N353" s="90"/>
      <c r="Q353" s="10"/>
    </row>
    <row r="354" spans="3:17" ht="12.75">
      <c r="C354" s="92"/>
      <c r="D354" s="92"/>
      <c r="E354" s="92"/>
      <c r="F354" s="92"/>
      <c r="G354" s="92"/>
      <c r="H354" s="92"/>
      <c r="I354" s="92"/>
      <c r="J354" s="93"/>
      <c r="K354" s="93"/>
      <c r="L354" s="90"/>
      <c r="M354" s="90"/>
      <c r="N354" s="90"/>
      <c r="Q354" s="10"/>
    </row>
    <row r="355" spans="3:17" ht="12.75">
      <c r="C355" s="92"/>
      <c r="D355" s="92"/>
      <c r="E355" s="92"/>
      <c r="F355" s="92"/>
      <c r="G355" s="92"/>
      <c r="H355" s="92"/>
      <c r="I355" s="92"/>
      <c r="J355" s="93"/>
      <c r="K355" s="93"/>
      <c r="L355" s="90"/>
      <c r="M355" s="90"/>
      <c r="N355" s="90"/>
      <c r="Q355" s="10"/>
    </row>
    <row r="356" spans="3:17" ht="12.75">
      <c r="C356" s="92"/>
      <c r="D356" s="92"/>
      <c r="E356" s="92"/>
      <c r="F356" s="92"/>
      <c r="G356" s="92"/>
      <c r="H356" s="92"/>
      <c r="I356" s="92"/>
      <c r="J356" s="93"/>
      <c r="K356" s="93"/>
      <c r="L356" s="90"/>
      <c r="M356" s="90"/>
      <c r="N356" s="90"/>
      <c r="Q356" s="10"/>
    </row>
    <row r="357" spans="3:17" ht="12.75">
      <c r="C357" s="92"/>
      <c r="D357" s="92"/>
      <c r="E357" s="92"/>
      <c r="F357" s="92"/>
      <c r="G357" s="92"/>
      <c r="H357" s="92"/>
      <c r="I357" s="92"/>
      <c r="J357" s="93"/>
      <c r="K357" s="93"/>
      <c r="L357" s="90"/>
      <c r="M357" s="90"/>
      <c r="N357" s="90"/>
      <c r="Q357" s="10"/>
    </row>
    <row r="358" spans="3:17" ht="12.75">
      <c r="C358" s="92"/>
      <c r="D358" s="92"/>
      <c r="E358" s="92"/>
      <c r="F358" s="92"/>
      <c r="G358" s="92"/>
      <c r="H358" s="92"/>
      <c r="I358" s="92"/>
      <c r="J358" s="93"/>
      <c r="K358" s="93"/>
      <c r="L358" s="90"/>
      <c r="M358" s="90"/>
      <c r="N358" s="90"/>
      <c r="Q358" s="10"/>
    </row>
    <row r="359" spans="3:17" ht="12.75">
      <c r="C359" s="92"/>
      <c r="D359" s="92"/>
      <c r="E359" s="92"/>
      <c r="F359" s="92"/>
      <c r="G359" s="92"/>
      <c r="H359" s="92"/>
      <c r="I359" s="92"/>
      <c r="J359" s="93"/>
      <c r="K359" s="93"/>
      <c r="L359" s="90"/>
      <c r="M359" s="90"/>
      <c r="N359" s="90"/>
      <c r="Q359" s="10"/>
    </row>
    <row r="360" spans="3:17" ht="12.75">
      <c r="C360" s="92"/>
      <c r="D360" s="92"/>
      <c r="E360" s="92"/>
      <c r="F360" s="92"/>
      <c r="G360" s="92"/>
      <c r="H360" s="92"/>
      <c r="I360" s="92"/>
      <c r="J360" s="93"/>
      <c r="K360" s="93"/>
      <c r="L360" s="90"/>
      <c r="M360" s="90"/>
      <c r="N360" s="90"/>
      <c r="Q360" s="10"/>
    </row>
    <row r="361" spans="3:17" ht="12.75">
      <c r="C361" s="92"/>
      <c r="D361" s="92"/>
      <c r="E361" s="92"/>
      <c r="F361" s="92"/>
      <c r="G361" s="92"/>
      <c r="H361" s="92"/>
      <c r="I361" s="92"/>
      <c r="J361" s="93"/>
      <c r="K361" s="93"/>
      <c r="L361" s="90"/>
      <c r="M361" s="90"/>
      <c r="N361" s="90"/>
      <c r="Q361" s="10"/>
    </row>
    <row r="362" spans="3:17" ht="12.75">
      <c r="C362" s="92"/>
      <c r="D362" s="92"/>
      <c r="E362" s="92"/>
      <c r="F362" s="92"/>
      <c r="G362" s="92"/>
      <c r="H362" s="92"/>
      <c r="I362" s="92"/>
      <c r="J362" s="93"/>
      <c r="K362" s="93"/>
      <c r="L362" s="90"/>
      <c r="M362" s="90"/>
      <c r="N362" s="90"/>
      <c r="Q362" s="10"/>
    </row>
    <row r="363" spans="3:17" ht="12.75">
      <c r="C363" s="92"/>
      <c r="D363" s="92"/>
      <c r="E363" s="92"/>
      <c r="F363" s="92"/>
      <c r="G363" s="92"/>
      <c r="H363" s="92"/>
      <c r="I363" s="92"/>
      <c r="J363" s="93"/>
      <c r="K363" s="93"/>
      <c r="L363" s="90"/>
      <c r="M363" s="90"/>
      <c r="N363" s="90"/>
      <c r="Q363" s="10"/>
    </row>
    <row r="364" spans="3:17" ht="12.75">
      <c r="C364" s="92"/>
      <c r="D364" s="92"/>
      <c r="E364" s="92"/>
      <c r="F364" s="92"/>
      <c r="G364" s="92"/>
      <c r="H364" s="92"/>
      <c r="I364" s="92"/>
      <c r="J364" s="93"/>
      <c r="K364" s="93"/>
      <c r="L364" s="90"/>
      <c r="M364" s="90"/>
      <c r="N364" s="90"/>
      <c r="Q364" s="10"/>
    </row>
    <row r="365" spans="3:17" ht="12.75">
      <c r="C365" s="92"/>
      <c r="D365" s="92"/>
      <c r="E365" s="92"/>
      <c r="F365" s="92"/>
      <c r="G365" s="92"/>
      <c r="H365" s="92"/>
      <c r="I365" s="92"/>
      <c r="J365" s="93"/>
      <c r="K365" s="93"/>
      <c r="L365" s="90"/>
      <c r="M365" s="90"/>
      <c r="N365" s="90"/>
      <c r="Q365" s="10"/>
    </row>
    <row r="366" spans="3:17" ht="12.75">
      <c r="C366" s="92"/>
      <c r="D366" s="92"/>
      <c r="E366" s="92"/>
      <c r="F366" s="92"/>
      <c r="G366" s="92"/>
      <c r="H366" s="92"/>
      <c r="I366" s="92"/>
      <c r="J366" s="93"/>
      <c r="K366" s="93"/>
      <c r="L366" s="90"/>
      <c r="M366" s="90"/>
      <c r="N366" s="90"/>
      <c r="Q366" s="10"/>
    </row>
    <row r="367" spans="3:17" ht="12.75">
      <c r="C367" s="92"/>
      <c r="D367" s="92"/>
      <c r="E367" s="92"/>
      <c r="F367" s="92"/>
      <c r="G367" s="92"/>
      <c r="H367" s="92"/>
      <c r="I367" s="92"/>
      <c r="J367" s="93"/>
      <c r="K367" s="93"/>
      <c r="L367" s="90"/>
      <c r="M367" s="90"/>
      <c r="N367" s="90"/>
      <c r="Q367" s="10"/>
    </row>
    <row r="368" spans="3:17" ht="12.75">
      <c r="C368" s="92"/>
      <c r="D368" s="92"/>
      <c r="E368" s="92"/>
      <c r="F368" s="92"/>
      <c r="G368" s="92"/>
      <c r="H368" s="92"/>
      <c r="I368" s="92"/>
      <c r="J368" s="93"/>
      <c r="K368" s="93"/>
      <c r="L368" s="90"/>
      <c r="M368" s="90"/>
      <c r="N368" s="90"/>
      <c r="Q368" s="10"/>
    </row>
    <row r="369" spans="3:17" ht="12.75">
      <c r="C369" s="92"/>
      <c r="D369" s="92"/>
      <c r="E369" s="92"/>
      <c r="F369" s="92"/>
      <c r="G369" s="92"/>
      <c r="H369" s="92"/>
      <c r="I369" s="92"/>
      <c r="J369" s="93"/>
      <c r="K369" s="93"/>
      <c r="L369" s="90"/>
      <c r="M369" s="90"/>
      <c r="N369" s="90"/>
      <c r="Q369" s="10"/>
    </row>
    <row r="370" spans="3:17" ht="12.75">
      <c r="C370" s="92"/>
      <c r="D370" s="92"/>
      <c r="E370" s="92"/>
      <c r="F370" s="92"/>
      <c r="G370" s="92"/>
      <c r="H370" s="92"/>
      <c r="I370" s="92"/>
      <c r="J370" s="93"/>
      <c r="K370" s="93"/>
      <c r="L370" s="90"/>
      <c r="M370" s="90"/>
      <c r="N370" s="90"/>
      <c r="Q370" s="10"/>
    </row>
    <row r="371" spans="3:17" ht="12.75">
      <c r="C371" s="92"/>
      <c r="D371" s="92"/>
      <c r="E371" s="92"/>
      <c r="F371" s="92"/>
      <c r="G371" s="92"/>
      <c r="H371" s="92"/>
      <c r="I371" s="92"/>
      <c r="J371" s="93"/>
      <c r="K371" s="93"/>
      <c r="L371" s="90"/>
      <c r="M371" s="90"/>
      <c r="N371" s="90"/>
      <c r="Q371" s="10"/>
    </row>
    <row r="372" spans="3:17" ht="12.75">
      <c r="C372" s="92"/>
      <c r="D372" s="92"/>
      <c r="E372" s="92"/>
      <c r="F372" s="92"/>
      <c r="G372" s="92"/>
      <c r="H372" s="92"/>
      <c r="I372" s="92"/>
      <c r="J372" s="93"/>
      <c r="K372" s="93"/>
      <c r="L372" s="90"/>
      <c r="M372" s="90"/>
      <c r="N372" s="90"/>
      <c r="Q372" s="10"/>
    </row>
    <row r="373" spans="3:17" ht="12.75">
      <c r="C373" s="92"/>
      <c r="D373" s="92"/>
      <c r="E373" s="92"/>
      <c r="F373" s="92"/>
      <c r="G373" s="92"/>
      <c r="H373" s="92"/>
      <c r="I373" s="92"/>
      <c r="J373" s="93"/>
      <c r="K373" s="93"/>
      <c r="L373" s="90"/>
      <c r="M373" s="90"/>
      <c r="N373" s="90"/>
      <c r="Q373" s="10"/>
    </row>
    <row r="374" spans="3:17" ht="12.75">
      <c r="C374" s="92"/>
      <c r="D374" s="92"/>
      <c r="E374" s="92"/>
      <c r="F374" s="92"/>
      <c r="G374" s="92"/>
      <c r="H374" s="92"/>
      <c r="I374" s="92"/>
      <c r="J374" s="93"/>
      <c r="K374" s="93"/>
      <c r="L374" s="90"/>
      <c r="M374" s="90"/>
      <c r="N374" s="90"/>
      <c r="Q374" s="10"/>
    </row>
    <row r="375" spans="3:17" ht="12.75">
      <c r="C375" s="92"/>
      <c r="D375" s="92"/>
      <c r="E375" s="92"/>
      <c r="F375" s="92"/>
      <c r="G375" s="92"/>
      <c r="H375" s="92"/>
      <c r="I375" s="92"/>
      <c r="J375" s="93"/>
      <c r="K375" s="93"/>
      <c r="L375" s="90"/>
      <c r="M375" s="90"/>
      <c r="N375" s="90"/>
      <c r="Q375" s="10"/>
    </row>
    <row r="376" spans="3:17" ht="12.75">
      <c r="C376" s="92"/>
      <c r="D376" s="92"/>
      <c r="E376" s="92"/>
      <c r="F376" s="92"/>
      <c r="G376" s="92"/>
      <c r="H376" s="92"/>
      <c r="I376" s="92"/>
      <c r="J376" s="93"/>
      <c r="K376" s="93"/>
      <c r="L376" s="90"/>
      <c r="M376" s="90"/>
      <c r="N376" s="90"/>
      <c r="Q376" s="10"/>
    </row>
    <row r="377" spans="3:17" ht="12.75">
      <c r="C377" s="92"/>
      <c r="D377" s="92"/>
      <c r="E377" s="92"/>
      <c r="F377" s="92"/>
      <c r="G377" s="92"/>
      <c r="H377" s="92"/>
      <c r="I377" s="92"/>
      <c r="J377" s="93"/>
      <c r="K377" s="93"/>
      <c r="L377" s="90"/>
      <c r="M377" s="90"/>
      <c r="N377" s="90"/>
      <c r="Q377" s="10"/>
    </row>
    <row r="378" spans="3:17" ht="12.75">
      <c r="C378" s="92"/>
      <c r="D378" s="92"/>
      <c r="E378" s="92"/>
      <c r="F378" s="92"/>
      <c r="G378" s="92"/>
      <c r="H378" s="92"/>
      <c r="I378" s="92"/>
      <c r="J378" s="93"/>
      <c r="K378" s="93"/>
      <c r="L378" s="90"/>
      <c r="M378" s="90"/>
      <c r="N378" s="90"/>
      <c r="Q378" s="10"/>
    </row>
    <row r="379" spans="3:17" ht="12.75">
      <c r="C379" s="92"/>
      <c r="D379" s="92"/>
      <c r="E379" s="92"/>
      <c r="F379" s="92"/>
      <c r="G379" s="92"/>
      <c r="H379" s="92"/>
      <c r="I379" s="92"/>
      <c r="J379" s="93"/>
      <c r="K379" s="93"/>
      <c r="L379" s="90"/>
      <c r="M379" s="90"/>
      <c r="N379" s="90"/>
      <c r="Q379" s="10"/>
    </row>
    <row r="380" spans="3:17" ht="12.75">
      <c r="C380" s="92"/>
      <c r="D380" s="92"/>
      <c r="E380" s="92"/>
      <c r="F380" s="92"/>
      <c r="G380" s="92"/>
      <c r="H380" s="92"/>
      <c r="I380" s="92"/>
      <c r="J380" s="93"/>
      <c r="K380" s="93"/>
      <c r="L380" s="90"/>
      <c r="M380" s="90"/>
      <c r="N380" s="90"/>
      <c r="Q380" s="10"/>
    </row>
    <row r="381" spans="3:17" ht="12.75">
      <c r="C381" s="92"/>
      <c r="D381" s="92"/>
      <c r="E381" s="92"/>
      <c r="F381" s="92"/>
      <c r="G381" s="92"/>
      <c r="H381" s="92"/>
      <c r="I381" s="92"/>
      <c r="J381" s="93"/>
      <c r="K381" s="93"/>
      <c r="L381" s="90"/>
      <c r="M381" s="90"/>
      <c r="N381" s="90"/>
      <c r="Q381" s="10"/>
    </row>
    <row r="382" spans="3:17" ht="12.75">
      <c r="C382" s="92"/>
      <c r="D382" s="92"/>
      <c r="E382" s="92"/>
      <c r="F382" s="92"/>
      <c r="G382" s="92"/>
      <c r="H382" s="92"/>
      <c r="I382" s="92"/>
      <c r="J382" s="93"/>
      <c r="K382" s="93"/>
      <c r="L382" s="90"/>
      <c r="M382" s="90"/>
      <c r="N382" s="90"/>
      <c r="Q382" s="10"/>
    </row>
    <row r="383" spans="3:17" ht="12.75">
      <c r="C383" s="92"/>
      <c r="D383" s="92"/>
      <c r="E383" s="92"/>
      <c r="F383" s="92"/>
      <c r="G383" s="92"/>
      <c r="H383" s="92"/>
      <c r="I383" s="92"/>
      <c r="J383" s="93"/>
      <c r="K383" s="93"/>
      <c r="L383" s="90"/>
      <c r="M383" s="90"/>
      <c r="N383" s="90"/>
      <c r="Q383" s="10"/>
    </row>
    <row r="384" spans="3:17" ht="12.75">
      <c r="C384" s="92"/>
      <c r="D384" s="92"/>
      <c r="E384" s="92"/>
      <c r="F384" s="92"/>
      <c r="G384" s="92"/>
      <c r="H384" s="92"/>
      <c r="I384" s="92"/>
      <c r="J384" s="93"/>
      <c r="K384" s="93"/>
      <c r="L384" s="90"/>
      <c r="M384" s="90"/>
      <c r="N384" s="90"/>
      <c r="Q384" s="10"/>
    </row>
    <row r="385" spans="3:17" ht="12.75">
      <c r="C385" s="92"/>
      <c r="D385" s="92"/>
      <c r="E385" s="92"/>
      <c r="F385" s="92"/>
      <c r="G385" s="92"/>
      <c r="H385" s="92"/>
      <c r="I385" s="92"/>
      <c r="J385" s="93"/>
      <c r="K385" s="93"/>
      <c r="L385" s="90"/>
      <c r="M385" s="90"/>
      <c r="N385" s="90"/>
      <c r="Q385" s="10"/>
    </row>
    <row r="386" spans="3:17" ht="12.75">
      <c r="C386" s="92"/>
      <c r="D386" s="92"/>
      <c r="E386" s="92"/>
      <c r="F386" s="92"/>
      <c r="G386" s="92"/>
      <c r="H386" s="92"/>
      <c r="I386" s="92"/>
      <c r="J386" s="93"/>
      <c r="K386" s="93"/>
      <c r="L386" s="90"/>
      <c r="M386" s="90"/>
      <c r="N386" s="90"/>
      <c r="Q386" s="10"/>
    </row>
    <row r="387" spans="3:17" ht="12.75">
      <c r="C387" s="92"/>
      <c r="D387" s="92"/>
      <c r="E387" s="92"/>
      <c r="F387" s="92"/>
      <c r="G387" s="92"/>
      <c r="H387" s="92"/>
      <c r="I387" s="92"/>
      <c r="J387" s="93"/>
      <c r="K387" s="93"/>
      <c r="L387" s="90"/>
      <c r="M387" s="90"/>
      <c r="N387" s="90"/>
      <c r="Q387" s="10"/>
    </row>
    <row r="388" spans="3:17" ht="12.75">
      <c r="C388" s="92"/>
      <c r="D388" s="92"/>
      <c r="E388" s="92"/>
      <c r="F388" s="92"/>
      <c r="G388" s="92"/>
      <c r="H388" s="92"/>
      <c r="I388" s="92"/>
      <c r="J388" s="93"/>
      <c r="K388" s="93"/>
      <c r="L388" s="90"/>
      <c r="M388" s="90"/>
      <c r="N388" s="90"/>
      <c r="Q388" s="10"/>
    </row>
    <row r="389" spans="3:17" ht="12.75">
      <c r="C389" s="92"/>
      <c r="D389" s="92"/>
      <c r="E389" s="92"/>
      <c r="F389" s="92"/>
      <c r="G389" s="92"/>
      <c r="H389" s="92"/>
      <c r="I389" s="92"/>
      <c r="J389" s="93"/>
      <c r="K389" s="93"/>
      <c r="L389" s="90"/>
      <c r="M389" s="90"/>
      <c r="N389" s="90"/>
      <c r="Q389" s="10"/>
    </row>
    <row r="390" spans="3:17" ht="12.75">
      <c r="C390" s="92"/>
      <c r="D390" s="92"/>
      <c r="E390" s="92"/>
      <c r="F390" s="92"/>
      <c r="G390" s="92"/>
      <c r="H390" s="92"/>
      <c r="I390" s="92"/>
      <c r="J390" s="93"/>
      <c r="K390" s="93"/>
      <c r="L390" s="90"/>
      <c r="M390" s="90"/>
      <c r="N390" s="90"/>
      <c r="Q390" s="10"/>
    </row>
    <row r="391" spans="3:17" ht="12.75">
      <c r="C391" s="92"/>
      <c r="D391" s="92"/>
      <c r="E391" s="92"/>
      <c r="F391" s="92"/>
      <c r="G391" s="92"/>
      <c r="H391" s="92"/>
      <c r="I391" s="92"/>
      <c r="J391" s="93"/>
      <c r="K391" s="93"/>
      <c r="L391" s="90"/>
      <c r="M391" s="90"/>
      <c r="N391" s="90"/>
      <c r="Q391" s="10"/>
    </row>
    <row r="392" spans="3:17" ht="12.75">
      <c r="C392" s="92"/>
      <c r="D392" s="92"/>
      <c r="E392" s="92"/>
      <c r="F392" s="92"/>
      <c r="G392" s="92"/>
      <c r="H392" s="92"/>
      <c r="I392" s="92"/>
      <c r="J392" s="93"/>
      <c r="K392" s="93"/>
      <c r="L392" s="90"/>
      <c r="M392" s="90"/>
      <c r="N392" s="90"/>
      <c r="Q392" s="10"/>
    </row>
    <row r="393" spans="3:17" ht="12.75">
      <c r="C393" s="92"/>
      <c r="D393" s="92"/>
      <c r="E393" s="92"/>
      <c r="F393" s="92"/>
      <c r="G393" s="92"/>
      <c r="H393" s="92"/>
      <c r="I393" s="92"/>
      <c r="J393" s="93"/>
      <c r="K393" s="93"/>
      <c r="L393" s="90"/>
      <c r="M393" s="90"/>
      <c r="N393" s="90"/>
      <c r="Q393" s="10"/>
    </row>
    <row r="394" spans="3:17" ht="12.75">
      <c r="C394" s="92"/>
      <c r="D394" s="92"/>
      <c r="E394" s="92"/>
      <c r="F394" s="92"/>
      <c r="G394" s="92"/>
      <c r="H394" s="92"/>
      <c r="I394" s="92"/>
      <c r="J394" s="93"/>
      <c r="K394" s="93"/>
      <c r="L394" s="90"/>
      <c r="M394" s="90"/>
      <c r="N394" s="90"/>
      <c r="Q394" s="10"/>
    </row>
    <row r="395" spans="3:17" ht="12.75">
      <c r="C395" s="92"/>
      <c r="D395" s="92"/>
      <c r="E395" s="92"/>
      <c r="F395" s="92"/>
      <c r="G395" s="92"/>
      <c r="H395" s="92"/>
      <c r="I395" s="92"/>
      <c r="J395" s="93"/>
      <c r="K395" s="93"/>
      <c r="L395" s="90"/>
      <c r="M395" s="90"/>
      <c r="N395" s="90"/>
      <c r="Q395" s="10"/>
    </row>
    <row r="396" spans="3:17" ht="12.75">
      <c r="C396" s="92"/>
      <c r="D396" s="92"/>
      <c r="E396" s="92"/>
      <c r="F396" s="92"/>
      <c r="G396" s="92"/>
      <c r="H396" s="92"/>
      <c r="I396" s="92"/>
      <c r="J396" s="93"/>
      <c r="K396" s="93"/>
      <c r="L396" s="90"/>
      <c r="M396" s="90"/>
      <c r="N396" s="90"/>
      <c r="Q396" s="10"/>
    </row>
    <row r="397" spans="3:17" ht="12.75">
      <c r="C397" s="92"/>
      <c r="D397" s="92"/>
      <c r="E397" s="92"/>
      <c r="F397" s="92"/>
      <c r="G397" s="92"/>
      <c r="H397" s="92"/>
      <c r="I397" s="92"/>
      <c r="J397" s="93"/>
      <c r="K397" s="93"/>
      <c r="L397" s="90"/>
      <c r="M397" s="90"/>
      <c r="N397" s="90"/>
      <c r="Q397" s="10"/>
    </row>
    <row r="398" spans="3:17" ht="12.75">
      <c r="C398" s="92"/>
      <c r="D398" s="92"/>
      <c r="E398" s="92"/>
      <c r="F398" s="92"/>
      <c r="G398" s="92"/>
      <c r="H398" s="92"/>
      <c r="I398" s="92"/>
      <c r="J398" s="93"/>
      <c r="K398" s="93"/>
      <c r="L398" s="90"/>
      <c r="M398" s="90"/>
      <c r="N398" s="90"/>
      <c r="Q398" s="10"/>
    </row>
    <row r="399" spans="3:17" ht="12.75">
      <c r="C399" s="92"/>
      <c r="D399" s="92"/>
      <c r="E399" s="92"/>
      <c r="F399" s="92"/>
      <c r="G399" s="92"/>
      <c r="H399" s="92"/>
      <c r="I399" s="92"/>
      <c r="J399" s="93"/>
      <c r="K399" s="93"/>
      <c r="L399" s="90"/>
      <c r="M399" s="90"/>
      <c r="N399" s="90"/>
      <c r="Q399" s="10"/>
    </row>
    <row r="400" spans="3:17" ht="12.75">
      <c r="C400" s="92"/>
      <c r="D400" s="92"/>
      <c r="E400" s="92"/>
      <c r="F400" s="92"/>
      <c r="G400" s="92"/>
      <c r="H400" s="92"/>
      <c r="I400" s="92"/>
      <c r="J400" s="93"/>
      <c r="K400" s="93"/>
      <c r="L400" s="90"/>
      <c r="M400" s="90"/>
      <c r="N400" s="90"/>
      <c r="Q400" s="10"/>
    </row>
    <row r="401" spans="3:17" ht="12.75">
      <c r="C401" s="92"/>
      <c r="D401" s="92"/>
      <c r="E401" s="92"/>
      <c r="F401" s="92"/>
      <c r="G401" s="92"/>
      <c r="H401" s="92"/>
      <c r="I401" s="92"/>
      <c r="J401" s="93"/>
      <c r="K401" s="93"/>
      <c r="L401" s="90"/>
      <c r="M401" s="90"/>
      <c r="N401" s="90"/>
      <c r="Q401" s="10"/>
    </row>
    <row r="402" spans="3:17" ht="12.75">
      <c r="C402" s="92"/>
      <c r="D402" s="92"/>
      <c r="E402" s="92"/>
      <c r="F402" s="92"/>
      <c r="G402" s="92"/>
      <c r="H402" s="92"/>
      <c r="I402" s="92"/>
      <c r="J402" s="93"/>
      <c r="K402" s="93"/>
      <c r="L402" s="90"/>
      <c r="M402" s="90"/>
      <c r="N402" s="90"/>
      <c r="Q402" s="10"/>
    </row>
    <row r="403" spans="3:17" ht="12.75">
      <c r="C403" s="92"/>
      <c r="D403" s="92"/>
      <c r="E403" s="92"/>
      <c r="F403" s="92"/>
      <c r="G403" s="92"/>
      <c r="H403" s="92"/>
      <c r="I403" s="92"/>
      <c r="J403" s="93"/>
      <c r="K403" s="93"/>
      <c r="L403" s="90"/>
      <c r="M403" s="90"/>
      <c r="N403" s="90"/>
      <c r="Q403" s="10"/>
    </row>
    <row r="404" spans="3:17" ht="12.75">
      <c r="C404" s="92"/>
      <c r="D404" s="92"/>
      <c r="E404" s="92"/>
      <c r="F404" s="92"/>
      <c r="G404" s="92"/>
      <c r="H404" s="92"/>
      <c r="I404" s="92"/>
      <c r="J404" s="93"/>
      <c r="K404" s="93"/>
      <c r="L404" s="90"/>
      <c r="M404" s="90"/>
      <c r="N404" s="90"/>
      <c r="Q404" s="10"/>
    </row>
    <row r="405" spans="3:17" ht="12.75">
      <c r="C405" s="92"/>
      <c r="D405" s="92"/>
      <c r="E405" s="92"/>
      <c r="F405" s="92"/>
      <c r="G405" s="92"/>
      <c r="H405" s="92"/>
      <c r="I405" s="92"/>
      <c r="J405" s="93"/>
      <c r="K405" s="93"/>
      <c r="L405" s="90"/>
      <c r="M405" s="90"/>
      <c r="N405" s="90"/>
      <c r="Q405" s="10"/>
    </row>
    <row r="406" spans="3:17" ht="12.75">
      <c r="C406" s="92"/>
      <c r="D406" s="92"/>
      <c r="E406" s="92"/>
      <c r="F406" s="92"/>
      <c r="G406" s="92"/>
      <c r="H406" s="92"/>
      <c r="I406" s="92"/>
      <c r="J406" s="93"/>
      <c r="K406" s="93"/>
      <c r="L406" s="90"/>
      <c r="M406" s="90"/>
      <c r="N406" s="90"/>
      <c r="Q406" s="10"/>
    </row>
    <row r="407" spans="3:17" ht="12.75">
      <c r="C407" s="92"/>
      <c r="D407" s="92"/>
      <c r="E407" s="92"/>
      <c r="F407" s="92"/>
      <c r="G407" s="92"/>
      <c r="H407" s="92"/>
      <c r="I407" s="92"/>
      <c r="J407" s="93"/>
      <c r="K407" s="93"/>
      <c r="L407" s="90"/>
      <c r="M407" s="90"/>
      <c r="N407" s="90"/>
      <c r="Q407" s="10"/>
    </row>
    <row r="408" spans="3:17" ht="12.75">
      <c r="C408" s="92"/>
      <c r="D408" s="92"/>
      <c r="E408" s="92"/>
      <c r="F408" s="92"/>
      <c r="G408" s="92"/>
      <c r="H408" s="92"/>
      <c r="I408" s="92"/>
      <c r="J408" s="93"/>
      <c r="K408" s="93"/>
      <c r="L408" s="90"/>
      <c r="M408" s="90"/>
      <c r="N408" s="90"/>
      <c r="Q408" s="10"/>
    </row>
    <row r="409" spans="3:17" ht="12.75">
      <c r="C409" s="92"/>
      <c r="D409" s="92"/>
      <c r="E409" s="92"/>
      <c r="F409" s="92"/>
      <c r="G409" s="92"/>
      <c r="H409" s="92"/>
      <c r="I409" s="92"/>
      <c r="J409" s="93"/>
      <c r="K409" s="93"/>
      <c r="L409" s="90"/>
      <c r="M409" s="90"/>
      <c r="N409" s="90"/>
      <c r="Q409" s="10"/>
    </row>
    <row r="410" spans="3:17" ht="12.75">
      <c r="C410" s="92"/>
      <c r="D410" s="92"/>
      <c r="E410" s="92"/>
      <c r="F410" s="92"/>
      <c r="G410" s="92"/>
      <c r="H410" s="92"/>
      <c r="I410" s="92"/>
      <c r="J410" s="93"/>
      <c r="K410" s="93"/>
      <c r="L410" s="90"/>
      <c r="M410" s="90"/>
      <c r="N410" s="90"/>
      <c r="Q410" s="10"/>
    </row>
    <row r="411" spans="3:17" ht="12.75">
      <c r="C411" s="92"/>
      <c r="D411" s="92"/>
      <c r="E411" s="92"/>
      <c r="F411" s="92"/>
      <c r="G411" s="92"/>
      <c r="H411" s="92"/>
      <c r="I411" s="92"/>
      <c r="J411" s="93"/>
      <c r="K411" s="93"/>
      <c r="L411" s="90"/>
      <c r="M411" s="90"/>
      <c r="N411" s="90"/>
      <c r="Q411" s="10"/>
    </row>
    <row r="412" spans="3:17" ht="12.75">
      <c r="C412" s="92"/>
      <c r="D412" s="92"/>
      <c r="E412" s="92"/>
      <c r="F412" s="92"/>
      <c r="G412" s="92"/>
      <c r="H412" s="92"/>
      <c r="I412" s="92"/>
      <c r="J412" s="93"/>
      <c r="K412" s="93"/>
      <c r="L412" s="90"/>
      <c r="M412" s="90"/>
      <c r="N412" s="90"/>
      <c r="Q412" s="10"/>
    </row>
    <row r="413" spans="3:17" ht="12.75">
      <c r="C413" s="92"/>
      <c r="D413" s="92"/>
      <c r="E413" s="92"/>
      <c r="F413" s="92"/>
      <c r="G413" s="92"/>
      <c r="H413" s="92"/>
      <c r="I413" s="92"/>
      <c r="J413" s="93"/>
      <c r="K413" s="93"/>
      <c r="L413" s="90"/>
      <c r="M413" s="90"/>
      <c r="N413" s="90"/>
      <c r="Q413" s="10"/>
    </row>
    <row r="414" spans="3:17" ht="12.75">
      <c r="C414" s="92"/>
      <c r="D414" s="92"/>
      <c r="E414" s="92"/>
      <c r="F414" s="92"/>
      <c r="G414" s="92"/>
      <c r="H414" s="92"/>
      <c r="I414" s="92"/>
      <c r="J414" s="93"/>
      <c r="K414" s="93"/>
      <c r="L414" s="90"/>
      <c r="M414" s="90"/>
      <c r="N414" s="90"/>
      <c r="Q414" s="10"/>
    </row>
    <row r="415" spans="3:17" ht="12.75">
      <c r="C415" s="92"/>
      <c r="D415" s="92"/>
      <c r="E415" s="92"/>
      <c r="F415" s="92"/>
      <c r="G415" s="92"/>
      <c r="H415" s="92"/>
      <c r="I415" s="92"/>
      <c r="J415" s="93"/>
      <c r="K415" s="93"/>
      <c r="L415" s="90"/>
      <c r="M415" s="90"/>
      <c r="N415" s="90"/>
      <c r="Q415" s="10"/>
    </row>
    <row r="416" spans="3:17" ht="12.75">
      <c r="C416" s="92"/>
      <c r="D416" s="92"/>
      <c r="E416" s="92"/>
      <c r="F416" s="92"/>
      <c r="G416" s="92"/>
      <c r="H416" s="92"/>
      <c r="I416" s="92"/>
      <c r="J416" s="93"/>
      <c r="K416" s="93"/>
      <c r="L416" s="90"/>
      <c r="M416" s="90"/>
      <c r="N416" s="90"/>
      <c r="Q416" s="10"/>
    </row>
    <row r="417" spans="3:17" ht="12.75">
      <c r="C417" s="92"/>
      <c r="D417" s="92"/>
      <c r="E417" s="92"/>
      <c r="F417" s="92"/>
      <c r="G417" s="92"/>
      <c r="H417" s="92"/>
      <c r="I417" s="92"/>
      <c r="J417" s="93"/>
      <c r="K417" s="93"/>
      <c r="L417" s="90"/>
      <c r="M417" s="90"/>
      <c r="N417" s="90"/>
      <c r="Q417" s="10"/>
    </row>
    <row r="418" spans="3:17" ht="12.75">
      <c r="C418" s="92"/>
      <c r="D418" s="92"/>
      <c r="E418" s="92"/>
      <c r="F418" s="92"/>
      <c r="G418" s="92"/>
      <c r="H418" s="92"/>
      <c r="I418" s="92"/>
      <c r="J418" s="93"/>
      <c r="K418" s="93"/>
      <c r="L418" s="90"/>
      <c r="M418" s="90"/>
      <c r="N418" s="90"/>
      <c r="Q418" s="10"/>
    </row>
    <row r="419" spans="3:17" ht="12.75">
      <c r="C419" s="92"/>
      <c r="D419" s="92"/>
      <c r="E419" s="92"/>
      <c r="F419" s="92"/>
      <c r="G419" s="92"/>
      <c r="H419" s="92"/>
      <c r="I419" s="92"/>
      <c r="J419" s="93"/>
      <c r="K419" s="93"/>
      <c r="L419" s="90"/>
      <c r="M419" s="90"/>
      <c r="N419" s="90"/>
      <c r="Q419" s="10"/>
    </row>
    <row r="420" spans="3:17" ht="12.75">
      <c r="C420" s="92"/>
      <c r="D420" s="92"/>
      <c r="E420" s="92"/>
      <c r="F420" s="92"/>
      <c r="G420" s="92"/>
      <c r="H420" s="92"/>
      <c r="I420" s="92"/>
      <c r="J420" s="93"/>
      <c r="K420" s="93"/>
      <c r="L420" s="90"/>
      <c r="M420" s="90"/>
      <c r="N420" s="90"/>
      <c r="Q420" s="10"/>
    </row>
    <row r="421" spans="3:17" ht="12.75">
      <c r="C421" s="92"/>
      <c r="D421" s="92"/>
      <c r="E421" s="92"/>
      <c r="F421" s="92"/>
      <c r="G421" s="92"/>
      <c r="H421" s="92"/>
      <c r="I421" s="92"/>
      <c r="J421" s="93"/>
      <c r="K421" s="93"/>
      <c r="L421" s="90"/>
      <c r="M421" s="90"/>
      <c r="N421" s="90"/>
      <c r="Q421" s="10"/>
    </row>
    <row r="422" spans="3:17" ht="12.75">
      <c r="C422" s="92"/>
      <c r="D422" s="92"/>
      <c r="E422" s="92"/>
      <c r="F422" s="92"/>
      <c r="G422" s="92"/>
      <c r="H422" s="92"/>
      <c r="I422" s="92"/>
      <c r="J422" s="93"/>
      <c r="K422" s="93"/>
      <c r="L422" s="90"/>
      <c r="M422" s="90"/>
      <c r="N422" s="90"/>
      <c r="Q422" s="10"/>
    </row>
    <row r="423" spans="3:17" ht="12.75">
      <c r="C423" s="92"/>
      <c r="D423" s="92"/>
      <c r="E423" s="92"/>
      <c r="F423" s="92"/>
      <c r="G423" s="92"/>
      <c r="H423" s="92"/>
      <c r="I423" s="92"/>
      <c r="J423" s="93"/>
      <c r="K423" s="93"/>
      <c r="L423" s="90"/>
      <c r="M423" s="90"/>
      <c r="N423" s="90"/>
      <c r="Q423" s="10"/>
    </row>
    <row r="424" spans="3:17" ht="12.75">
      <c r="C424" s="92"/>
      <c r="D424" s="92"/>
      <c r="E424" s="92"/>
      <c r="F424" s="92"/>
      <c r="G424" s="92"/>
      <c r="H424" s="92"/>
      <c r="I424" s="92"/>
      <c r="J424" s="93"/>
      <c r="K424" s="93"/>
      <c r="L424" s="90"/>
      <c r="M424" s="90"/>
      <c r="N424" s="90"/>
      <c r="Q424" s="10"/>
    </row>
    <row r="425" spans="3:17" ht="12.75">
      <c r="C425" s="92"/>
      <c r="D425" s="92"/>
      <c r="E425" s="92"/>
      <c r="F425" s="92"/>
      <c r="G425" s="92"/>
      <c r="H425" s="92"/>
      <c r="I425" s="92"/>
      <c r="J425" s="93"/>
      <c r="K425" s="93"/>
      <c r="L425" s="90"/>
      <c r="M425" s="90"/>
      <c r="N425" s="90"/>
      <c r="Q425" s="10"/>
    </row>
    <row r="426" spans="3:17" ht="12.75">
      <c r="C426" s="92"/>
      <c r="D426" s="92"/>
      <c r="E426" s="92"/>
      <c r="F426" s="92"/>
      <c r="G426" s="92"/>
      <c r="H426" s="92"/>
      <c r="I426" s="92"/>
      <c r="J426" s="93"/>
      <c r="K426" s="93"/>
      <c r="L426" s="90"/>
      <c r="M426" s="90"/>
      <c r="N426" s="90"/>
      <c r="Q426" s="10"/>
    </row>
    <row r="427" spans="3:17" ht="12.75">
      <c r="C427" s="92"/>
      <c r="D427" s="92"/>
      <c r="E427" s="92"/>
      <c r="F427" s="92"/>
      <c r="G427" s="92"/>
      <c r="H427" s="92"/>
      <c r="I427" s="92"/>
      <c r="J427" s="93"/>
      <c r="K427" s="93"/>
      <c r="L427" s="90"/>
      <c r="M427" s="90"/>
      <c r="N427" s="90"/>
      <c r="Q427" s="10"/>
    </row>
    <row r="428" spans="3:17" ht="12.75">
      <c r="C428" s="92"/>
      <c r="D428" s="92"/>
      <c r="E428" s="92"/>
      <c r="F428" s="92"/>
      <c r="G428" s="92"/>
      <c r="H428" s="92"/>
      <c r="I428" s="92"/>
      <c r="J428" s="93"/>
      <c r="K428" s="93"/>
      <c r="L428" s="90"/>
      <c r="M428" s="90"/>
      <c r="N428" s="90"/>
      <c r="Q428" s="10"/>
    </row>
    <row r="429" spans="3:17" ht="12.75">
      <c r="C429" s="92"/>
      <c r="D429" s="92"/>
      <c r="E429" s="92"/>
      <c r="F429" s="92"/>
      <c r="G429" s="92"/>
      <c r="H429" s="92"/>
      <c r="I429" s="92"/>
      <c r="J429" s="93"/>
      <c r="K429" s="93"/>
      <c r="L429" s="90"/>
      <c r="M429" s="90"/>
      <c r="N429" s="90"/>
      <c r="Q429" s="10"/>
    </row>
    <row r="430" spans="3:17" ht="12.75">
      <c r="C430" s="92"/>
      <c r="D430" s="92"/>
      <c r="E430" s="92"/>
      <c r="F430" s="92"/>
      <c r="G430" s="92"/>
      <c r="H430" s="92"/>
      <c r="I430" s="92"/>
      <c r="J430" s="93"/>
      <c r="K430" s="93"/>
      <c r="L430" s="90"/>
      <c r="M430" s="90"/>
      <c r="N430" s="90"/>
      <c r="Q430" s="10"/>
    </row>
    <row r="431" spans="3:17" ht="12.75">
      <c r="C431" s="92"/>
      <c r="D431" s="92"/>
      <c r="E431" s="92"/>
      <c r="F431" s="92"/>
      <c r="G431" s="92"/>
      <c r="H431" s="92"/>
      <c r="I431" s="92"/>
      <c r="J431" s="93"/>
      <c r="K431" s="93"/>
      <c r="L431" s="90"/>
      <c r="M431" s="90"/>
      <c r="N431" s="90"/>
      <c r="Q431" s="10"/>
    </row>
    <row r="432" spans="3:17" ht="12.75">
      <c r="C432" s="92"/>
      <c r="D432" s="92"/>
      <c r="E432" s="92"/>
      <c r="F432" s="92"/>
      <c r="G432" s="92"/>
      <c r="H432" s="92"/>
      <c r="I432" s="92"/>
      <c r="J432" s="93"/>
      <c r="K432" s="93"/>
      <c r="L432" s="90"/>
      <c r="M432" s="90"/>
      <c r="N432" s="90"/>
      <c r="Q432" s="10"/>
    </row>
    <row r="433" spans="3:17" ht="12.75">
      <c r="C433" s="92"/>
      <c r="D433" s="92"/>
      <c r="E433" s="92"/>
      <c r="F433" s="92"/>
      <c r="G433" s="92"/>
      <c r="H433" s="92"/>
      <c r="I433" s="92"/>
      <c r="J433" s="93"/>
      <c r="K433" s="93"/>
      <c r="L433" s="90"/>
      <c r="M433" s="90"/>
      <c r="N433" s="90"/>
      <c r="Q433" s="10"/>
    </row>
    <row r="434" spans="3:17" ht="12.75">
      <c r="C434" s="92"/>
      <c r="D434" s="92"/>
      <c r="E434" s="92"/>
      <c r="F434" s="92"/>
      <c r="G434" s="92"/>
      <c r="H434" s="92"/>
      <c r="I434" s="92"/>
      <c r="J434" s="93"/>
      <c r="K434" s="93"/>
      <c r="L434" s="90"/>
      <c r="M434" s="90"/>
      <c r="N434" s="90"/>
      <c r="Q434" s="10"/>
    </row>
    <row r="435" spans="3:17" ht="12.75">
      <c r="C435" s="92"/>
      <c r="D435" s="92"/>
      <c r="E435" s="92"/>
      <c r="F435" s="92"/>
      <c r="G435" s="92"/>
      <c r="H435" s="92"/>
      <c r="I435" s="92"/>
      <c r="J435" s="93"/>
      <c r="K435" s="93"/>
      <c r="L435" s="90"/>
      <c r="M435" s="90"/>
      <c r="N435" s="90"/>
      <c r="Q435" s="10"/>
    </row>
    <row r="436" spans="3:17" ht="12.75">
      <c r="C436" s="92"/>
      <c r="D436" s="92"/>
      <c r="E436" s="92"/>
      <c r="F436" s="92"/>
      <c r="G436" s="92"/>
      <c r="H436" s="92"/>
      <c r="I436" s="92"/>
      <c r="J436" s="93"/>
      <c r="K436" s="93"/>
      <c r="L436" s="90"/>
      <c r="M436" s="90"/>
      <c r="N436" s="90"/>
      <c r="Q436" s="10"/>
    </row>
    <row r="437" spans="3:17" ht="12.75">
      <c r="C437" s="92"/>
      <c r="D437" s="92"/>
      <c r="E437" s="92"/>
      <c r="F437" s="92"/>
      <c r="G437" s="92"/>
      <c r="H437" s="92"/>
      <c r="I437" s="92"/>
      <c r="J437" s="93"/>
      <c r="K437" s="93"/>
      <c r="L437" s="90"/>
      <c r="M437" s="90"/>
      <c r="N437" s="90"/>
      <c r="Q437" s="10"/>
    </row>
    <row r="438" spans="3:17" ht="12.75">
      <c r="C438" s="92"/>
      <c r="D438" s="92"/>
      <c r="E438" s="92"/>
      <c r="F438" s="92"/>
      <c r="G438" s="92"/>
      <c r="H438" s="92"/>
      <c r="I438" s="92"/>
      <c r="J438" s="93"/>
      <c r="K438" s="93"/>
      <c r="L438" s="90"/>
      <c r="M438" s="90"/>
      <c r="N438" s="90"/>
      <c r="Q438" s="10"/>
    </row>
    <row r="439" spans="3:17" ht="12.75">
      <c r="C439" s="92"/>
      <c r="D439" s="92"/>
      <c r="E439" s="92"/>
      <c r="F439" s="92"/>
      <c r="G439" s="92"/>
      <c r="H439" s="92"/>
      <c r="I439" s="92"/>
      <c r="J439" s="93"/>
      <c r="K439" s="93"/>
      <c r="L439" s="90"/>
      <c r="M439" s="90"/>
      <c r="N439" s="90"/>
      <c r="Q439" s="10"/>
    </row>
    <row r="440" spans="3:17" ht="12.75">
      <c r="C440" s="92"/>
      <c r="D440" s="92"/>
      <c r="E440" s="92"/>
      <c r="F440" s="92"/>
      <c r="G440" s="92"/>
      <c r="H440" s="92"/>
      <c r="I440" s="92"/>
      <c r="J440" s="93"/>
      <c r="K440" s="93"/>
      <c r="L440" s="90"/>
      <c r="M440" s="90"/>
      <c r="N440" s="90"/>
      <c r="Q440" s="10"/>
    </row>
    <row r="441" spans="3:17" ht="12.75">
      <c r="C441" s="92"/>
      <c r="D441" s="92"/>
      <c r="E441" s="92"/>
      <c r="F441" s="92"/>
      <c r="G441" s="92"/>
      <c r="H441" s="92"/>
      <c r="I441" s="92"/>
      <c r="J441" s="93"/>
      <c r="K441" s="93"/>
      <c r="L441" s="90"/>
      <c r="M441" s="90"/>
      <c r="N441" s="90"/>
      <c r="Q441" s="10"/>
    </row>
    <row r="442" spans="3:17" ht="12.75">
      <c r="C442" s="92"/>
      <c r="D442" s="92"/>
      <c r="E442" s="92"/>
      <c r="F442" s="92"/>
      <c r="G442" s="92"/>
      <c r="H442" s="92"/>
      <c r="I442" s="92"/>
      <c r="J442" s="93"/>
      <c r="K442" s="93"/>
      <c r="L442" s="90"/>
      <c r="M442" s="90"/>
      <c r="N442" s="90"/>
      <c r="Q442" s="10"/>
    </row>
    <row r="443" spans="3:17" ht="12.75">
      <c r="C443" s="92"/>
      <c r="D443" s="92"/>
      <c r="E443" s="92"/>
      <c r="F443" s="92"/>
      <c r="G443" s="92"/>
      <c r="H443" s="92"/>
      <c r="I443" s="92"/>
      <c r="J443" s="93"/>
      <c r="K443" s="93"/>
      <c r="L443" s="90"/>
      <c r="M443" s="90"/>
      <c r="N443" s="90"/>
      <c r="Q443" s="10"/>
    </row>
    <row r="444" spans="3:17" ht="12.75">
      <c r="C444" s="92"/>
      <c r="D444" s="92"/>
      <c r="E444" s="92"/>
      <c r="F444" s="92"/>
      <c r="G444" s="92"/>
      <c r="H444" s="92"/>
      <c r="I444" s="92"/>
      <c r="J444" s="93"/>
      <c r="K444" s="93"/>
      <c r="L444" s="90"/>
      <c r="M444" s="90"/>
      <c r="N444" s="90"/>
      <c r="Q444" s="10"/>
    </row>
    <row r="445" spans="3:17" ht="12.75">
      <c r="C445" s="92"/>
      <c r="D445" s="92"/>
      <c r="E445" s="92"/>
      <c r="F445" s="92"/>
      <c r="G445" s="92"/>
      <c r="H445" s="92"/>
      <c r="I445" s="92"/>
      <c r="J445" s="93"/>
      <c r="K445" s="93"/>
      <c r="L445" s="90"/>
      <c r="M445" s="90"/>
      <c r="N445" s="90"/>
      <c r="Q445" s="10"/>
    </row>
    <row r="446" spans="3:17" ht="12.75">
      <c r="C446" s="92"/>
      <c r="D446" s="92"/>
      <c r="E446" s="92"/>
      <c r="F446" s="92"/>
      <c r="G446" s="92"/>
      <c r="H446" s="92"/>
      <c r="I446" s="92"/>
      <c r="J446" s="93"/>
      <c r="K446" s="93"/>
      <c r="L446" s="90"/>
      <c r="M446" s="90"/>
      <c r="N446" s="90"/>
      <c r="Q446" s="10"/>
    </row>
    <row r="447" spans="3:17" ht="12.75">
      <c r="C447" s="92"/>
      <c r="D447" s="92"/>
      <c r="E447" s="92"/>
      <c r="F447" s="92"/>
      <c r="G447" s="92"/>
      <c r="H447" s="92"/>
      <c r="I447" s="92"/>
      <c r="J447" s="93"/>
      <c r="K447" s="93"/>
      <c r="L447" s="90"/>
      <c r="M447" s="90"/>
      <c r="N447" s="90"/>
      <c r="Q447" s="10"/>
    </row>
    <row r="448" spans="3:17" ht="12.75">
      <c r="C448" s="92"/>
      <c r="D448" s="92"/>
      <c r="E448" s="92"/>
      <c r="F448" s="92"/>
      <c r="G448" s="92"/>
      <c r="H448" s="92"/>
      <c r="I448" s="92"/>
      <c r="J448" s="93"/>
      <c r="K448" s="93"/>
      <c r="L448" s="90"/>
      <c r="M448" s="90"/>
      <c r="N448" s="90"/>
      <c r="Q448" s="10"/>
    </row>
    <row r="449" spans="3:17" ht="12.75">
      <c r="C449" s="92"/>
      <c r="D449" s="92"/>
      <c r="E449" s="92"/>
      <c r="F449" s="92"/>
      <c r="G449" s="92"/>
      <c r="H449" s="92"/>
      <c r="I449" s="92"/>
      <c r="J449" s="93"/>
      <c r="K449" s="93"/>
      <c r="L449" s="90"/>
      <c r="M449" s="90"/>
      <c r="N449" s="90"/>
      <c r="Q449" s="10"/>
    </row>
    <row r="450" spans="3:17" ht="12.75">
      <c r="C450" s="92"/>
      <c r="D450" s="92"/>
      <c r="E450" s="92"/>
      <c r="F450" s="92"/>
      <c r="G450" s="92"/>
      <c r="H450" s="92"/>
      <c r="I450" s="92"/>
      <c r="J450" s="93"/>
      <c r="K450" s="93"/>
      <c r="L450" s="90"/>
      <c r="M450" s="90"/>
      <c r="N450" s="90"/>
      <c r="Q450" s="10"/>
    </row>
    <row r="451" spans="3:17" ht="12.75">
      <c r="C451" s="92"/>
      <c r="D451" s="92"/>
      <c r="E451" s="92"/>
      <c r="F451" s="92"/>
      <c r="G451" s="92"/>
      <c r="H451" s="92"/>
      <c r="I451" s="92"/>
      <c r="J451" s="93"/>
      <c r="K451" s="93"/>
      <c r="L451" s="90"/>
      <c r="M451" s="90"/>
      <c r="N451" s="90"/>
      <c r="Q451" s="10"/>
    </row>
    <row r="452" spans="3:17" ht="12.75">
      <c r="C452" s="92"/>
      <c r="D452" s="92"/>
      <c r="E452" s="92"/>
      <c r="F452" s="92"/>
      <c r="G452" s="92"/>
      <c r="H452" s="92"/>
      <c r="I452" s="92"/>
      <c r="J452" s="93"/>
      <c r="K452" s="93"/>
      <c r="L452" s="90"/>
      <c r="M452" s="90"/>
      <c r="N452" s="90"/>
      <c r="Q452" s="10"/>
    </row>
    <row r="453" spans="3:17" ht="12.75">
      <c r="C453" s="92"/>
      <c r="D453" s="92"/>
      <c r="E453" s="92"/>
      <c r="F453" s="92"/>
      <c r="G453" s="92"/>
      <c r="H453" s="92"/>
      <c r="I453" s="92"/>
      <c r="J453" s="93"/>
      <c r="K453" s="93"/>
      <c r="L453" s="90"/>
      <c r="M453" s="90"/>
      <c r="N453" s="90"/>
      <c r="Q453" s="10"/>
    </row>
    <row r="454" spans="3:17" ht="12.75">
      <c r="C454" s="92"/>
      <c r="D454" s="92"/>
      <c r="E454" s="92"/>
      <c r="F454" s="92"/>
      <c r="G454" s="92"/>
      <c r="H454" s="92"/>
      <c r="I454" s="92"/>
      <c r="J454" s="93"/>
      <c r="K454" s="93"/>
      <c r="L454" s="90"/>
      <c r="M454" s="90"/>
      <c r="N454" s="90"/>
      <c r="Q454" s="10"/>
    </row>
    <row r="455" spans="3:17" ht="12.75">
      <c r="C455" s="92"/>
      <c r="D455" s="92"/>
      <c r="E455" s="92"/>
      <c r="F455" s="92"/>
      <c r="G455" s="92"/>
      <c r="H455" s="92"/>
      <c r="I455" s="92"/>
      <c r="J455" s="93"/>
      <c r="K455" s="93"/>
      <c r="L455" s="90"/>
      <c r="M455" s="90"/>
      <c r="N455" s="90"/>
      <c r="Q455" s="10"/>
    </row>
    <row r="456" spans="3:17" ht="12.75">
      <c r="C456" s="92"/>
      <c r="D456" s="92"/>
      <c r="E456" s="92"/>
      <c r="F456" s="92"/>
      <c r="G456" s="92"/>
      <c r="H456" s="92"/>
      <c r="I456" s="92"/>
      <c r="J456" s="93"/>
      <c r="K456" s="93"/>
      <c r="L456" s="90"/>
      <c r="M456" s="90"/>
      <c r="N456" s="90"/>
      <c r="Q456" s="10"/>
    </row>
    <row r="457" spans="3:17" ht="12.75">
      <c r="C457" s="92"/>
      <c r="D457" s="92"/>
      <c r="E457" s="92"/>
      <c r="F457" s="92"/>
      <c r="G457" s="92"/>
      <c r="H457" s="92"/>
      <c r="I457" s="92"/>
      <c r="J457" s="93"/>
      <c r="K457" s="93"/>
      <c r="L457" s="90"/>
      <c r="M457" s="90"/>
      <c r="N457" s="90"/>
      <c r="Q457" s="10"/>
    </row>
    <row r="458" spans="3:17" ht="12.75">
      <c r="C458" s="92"/>
      <c r="D458" s="92"/>
      <c r="E458" s="92"/>
      <c r="F458" s="92"/>
      <c r="G458" s="92"/>
      <c r="H458" s="92"/>
      <c r="I458" s="92"/>
      <c r="J458" s="93"/>
      <c r="K458" s="93"/>
      <c r="L458" s="90"/>
      <c r="M458" s="90"/>
      <c r="N458" s="90"/>
      <c r="Q458" s="10"/>
    </row>
    <row r="459" spans="3:17" ht="12.75">
      <c r="C459" s="92"/>
      <c r="D459" s="92"/>
      <c r="E459" s="92"/>
      <c r="F459" s="92"/>
      <c r="G459" s="92"/>
      <c r="H459" s="92"/>
      <c r="I459" s="92"/>
      <c r="J459" s="93"/>
      <c r="K459" s="93"/>
      <c r="L459" s="90"/>
      <c r="M459" s="90"/>
      <c r="N459" s="90"/>
      <c r="Q459" s="10"/>
    </row>
    <row r="460" spans="3:17" ht="12.75">
      <c r="C460" s="92"/>
      <c r="D460" s="92"/>
      <c r="E460" s="92"/>
      <c r="F460" s="92"/>
      <c r="G460" s="92"/>
      <c r="H460" s="92"/>
      <c r="I460" s="92"/>
      <c r="J460" s="93"/>
      <c r="K460" s="93"/>
      <c r="L460" s="90"/>
      <c r="M460" s="90"/>
      <c r="N460" s="90"/>
      <c r="Q460" s="10"/>
    </row>
    <row r="461" spans="3:17" ht="12.75">
      <c r="C461" s="92"/>
      <c r="D461" s="92"/>
      <c r="E461" s="92"/>
      <c r="F461" s="92"/>
      <c r="G461" s="92"/>
      <c r="H461" s="92"/>
      <c r="I461" s="92"/>
      <c r="J461" s="93"/>
      <c r="K461" s="93"/>
      <c r="L461" s="90"/>
      <c r="M461" s="90"/>
      <c r="N461" s="90"/>
      <c r="Q461" s="10"/>
    </row>
    <row r="462" spans="3:17" ht="12.75">
      <c r="C462" s="92"/>
      <c r="D462" s="92"/>
      <c r="E462" s="92"/>
      <c r="F462" s="92"/>
      <c r="G462" s="92"/>
      <c r="H462" s="92"/>
      <c r="I462" s="92"/>
      <c r="J462" s="93"/>
      <c r="K462" s="93"/>
      <c r="L462" s="90"/>
      <c r="M462" s="90"/>
      <c r="N462" s="90"/>
      <c r="Q462" s="10"/>
    </row>
    <row r="463" spans="3:17" ht="12.75">
      <c r="C463" s="92"/>
      <c r="D463" s="92"/>
      <c r="E463" s="92"/>
      <c r="F463" s="92"/>
      <c r="G463" s="92"/>
      <c r="H463" s="92"/>
      <c r="I463" s="92"/>
      <c r="J463" s="93"/>
      <c r="K463" s="93"/>
      <c r="L463" s="90"/>
      <c r="M463" s="90"/>
      <c r="N463" s="90"/>
      <c r="Q463" s="10"/>
    </row>
    <row r="464" spans="3:17" ht="12.75">
      <c r="C464" s="92"/>
      <c r="D464" s="92"/>
      <c r="E464" s="92"/>
      <c r="F464" s="92"/>
      <c r="G464" s="92"/>
      <c r="H464" s="92"/>
      <c r="I464" s="92"/>
      <c r="J464" s="93"/>
      <c r="K464" s="93"/>
      <c r="L464" s="90"/>
      <c r="M464" s="90"/>
      <c r="N464" s="90"/>
      <c r="Q464" s="10"/>
    </row>
    <row r="465" spans="3:17" ht="12.75">
      <c r="C465" s="92"/>
      <c r="D465" s="92"/>
      <c r="E465" s="92"/>
      <c r="F465" s="92"/>
      <c r="G465" s="92"/>
      <c r="H465" s="92"/>
      <c r="I465" s="92"/>
      <c r="J465" s="93"/>
      <c r="K465" s="93"/>
      <c r="L465" s="90"/>
      <c r="M465" s="90"/>
      <c r="N465" s="90"/>
      <c r="Q465" s="10"/>
    </row>
    <row r="466" spans="3:17" ht="12.75">
      <c r="C466" s="92"/>
      <c r="D466" s="92"/>
      <c r="E466" s="92"/>
      <c r="F466" s="92"/>
      <c r="G466" s="92"/>
      <c r="H466" s="92"/>
      <c r="I466" s="92"/>
      <c r="J466" s="93"/>
      <c r="K466" s="93"/>
      <c r="L466" s="90"/>
      <c r="M466" s="90"/>
      <c r="N466" s="90"/>
      <c r="Q466" s="10"/>
    </row>
    <row r="467" spans="3:17" ht="12.75">
      <c r="C467" s="92"/>
      <c r="D467" s="92"/>
      <c r="E467" s="92"/>
      <c r="F467" s="92"/>
      <c r="G467" s="92"/>
      <c r="H467" s="92"/>
      <c r="I467" s="92"/>
      <c r="J467" s="93"/>
      <c r="K467" s="93"/>
      <c r="L467" s="90"/>
      <c r="M467" s="90"/>
      <c r="N467" s="90"/>
      <c r="Q467" s="10"/>
    </row>
    <row r="468" spans="3:17" ht="12.75">
      <c r="C468" s="92"/>
      <c r="D468" s="92"/>
      <c r="E468" s="92"/>
      <c r="F468" s="92"/>
      <c r="G468" s="92"/>
      <c r="H468" s="92"/>
      <c r="I468" s="92"/>
      <c r="J468" s="93"/>
      <c r="K468" s="93"/>
      <c r="L468" s="90"/>
      <c r="M468" s="90"/>
      <c r="N468" s="90"/>
      <c r="Q468" s="10"/>
    </row>
    <row r="469" spans="3:17" ht="12.75">
      <c r="C469" s="92"/>
      <c r="D469" s="92"/>
      <c r="E469" s="92"/>
      <c r="F469" s="92"/>
      <c r="G469" s="92"/>
      <c r="H469" s="92"/>
      <c r="I469" s="92"/>
      <c r="J469" s="93"/>
      <c r="K469" s="93"/>
      <c r="L469" s="90"/>
      <c r="M469" s="90"/>
      <c r="N469" s="90"/>
      <c r="Q469" s="10"/>
    </row>
    <row r="470" spans="3:17" ht="12.75">
      <c r="C470" s="92"/>
      <c r="D470" s="92"/>
      <c r="E470" s="92"/>
      <c r="F470" s="92"/>
      <c r="G470" s="92"/>
      <c r="H470" s="92"/>
      <c r="I470" s="92"/>
      <c r="J470" s="93"/>
      <c r="K470" s="93"/>
      <c r="L470" s="90"/>
      <c r="M470" s="90"/>
      <c r="N470" s="90"/>
      <c r="Q470" s="10"/>
    </row>
    <row r="471" spans="3:17" ht="12.75">
      <c r="C471" s="92"/>
      <c r="D471" s="92"/>
      <c r="E471" s="92"/>
      <c r="F471" s="92"/>
      <c r="G471" s="92"/>
      <c r="H471" s="92"/>
      <c r="I471" s="92"/>
      <c r="J471" s="93"/>
      <c r="K471" s="93"/>
      <c r="L471" s="90"/>
      <c r="M471" s="90"/>
      <c r="N471" s="90"/>
      <c r="Q471" s="10"/>
    </row>
    <row r="472" spans="3:17" ht="12.75">
      <c r="C472" s="92"/>
      <c r="D472" s="92"/>
      <c r="E472" s="92"/>
      <c r="F472" s="92"/>
      <c r="G472" s="92"/>
      <c r="H472" s="92"/>
      <c r="I472" s="92"/>
      <c r="J472" s="93"/>
      <c r="K472" s="93"/>
      <c r="L472" s="90"/>
      <c r="M472" s="90"/>
      <c r="N472" s="90"/>
      <c r="Q472" s="10"/>
    </row>
    <row r="473" spans="3:17" ht="12.75">
      <c r="C473" s="92"/>
      <c r="D473" s="92"/>
      <c r="E473" s="92"/>
      <c r="F473" s="92"/>
      <c r="G473" s="92"/>
      <c r="H473" s="92"/>
      <c r="I473" s="92"/>
      <c r="J473" s="93"/>
      <c r="K473" s="93"/>
      <c r="L473" s="90"/>
      <c r="M473" s="90"/>
      <c r="N473" s="90"/>
      <c r="Q473" s="10"/>
    </row>
    <row r="474" spans="3:17" ht="12.75">
      <c r="C474" s="92"/>
      <c r="D474" s="92"/>
      <c r="E474" s="92"/>
      <c r="F474" s="92"/>
      <c r="G474" s="92"/>
      <c r="H474" s="92"/>
      <c r="I474" s="92"/>
      <c r="J474" s="93"/>
      <c r="K474" s="93"/>
      <c r="L474" s="90"/>
      <c r="M474" s="90"/>
      <c r="N474" s="90"/>
      <c r="Q474" s="10"/>
    </row>
    <row r="475" spans="3:17" ht="12.75">
      <c r="C475" s="92"/>
      <c r="D475" s="92"/>
      <c r="E475" s="92"/>
      <c r="F475" s="92"/>
      <c r="G475" s="92"/>
      <c r="H475" s="92"/>
      <c r="I475" s="92"/>
      <c r="J475" s="93"/>
      <c r="K475" s="93"/>
      <c r="L475" s="90"/>
      <c r="M475" s="90"/>
      <c r="N475" s="90"/>
      <c r="Q475" s="10"/>
    </row>
    <row r="476" spans="3:17" ht="12.75">
      <c r="C476" s="92"/>
      <c r="D476" s="92"/>
      <c r="E476" s="92"/>
      <c r="F476" s="92"/>
      <c r="G476" s="92"/>
      <c r="H476" s="92"/>
      <c r="I476" s="92"/>
      <c r="J476" s="93"/>
      <c r="K476" s="93"/>
      <c r="L476" s="90"/>
      <c r="M476" s="90"/>
      <c r="N476" s="90"/>
      <c r="Q476" s="10"/>
    </row>
    <row r="477" spans="3:17" ht="12.75">
      <c r="C477" s="92"/>
      <c r="D477" s="92"/>
      <c r="E477" s="92"/>
      <c r="F477" s="92"/>
      <c r="G477" s="92"/>
      <c r="H477" s="92"/>
      <c r="I477" s="92"/>
      <c r="J477" s="93"/>
      <c r="K477" s="93"/>
      <c r="L477" s="90"/>
      <c r="M477" s="90"/>
      <c r="N477" s="90"/>
      <c r="Q477" s="10"/>
    </row>
    <row r="478" spans="3:17" ht="12.75">
      <c r="C478" s="92"/>
      <c r="D478" s="92"/>
      <c r="E478" s="92"/>
      <c r="F478" s="92"/>
      <c r="G478" s="92"/>
      <c r="H478" s="92"/>
      <c r="I478" s="92"/>
      <c r="J478" s="93"/>
      <c r="K478" s="93"/>
      <c r="L478" s="90"/>
      <c r="M478" s="90"/>
      <c r="N478" s="90"/>
      <c r="Q478" s="10"/>
    </row>
    <row r="479" spans="3:17" ht="12.75">
      <c r="C479" s="92"/>
      <c r="D479" s="92"/>
      <c r="E479" s="92"/>
      <c r="F479" s="92"/>
      <c r="G479" s="92"/>
      <c r="H479" s="92"/>
      <c r="I479" s="92"/>
      <c r="J479" s="93"/>
      <c r="K479" s="93"/>
      <c r="L479" s="90"/>
      <c r="M479" s="90"/>
      <c r="N479" s="90"/>
      <c r="Q479" s="10"/>
    </row>
    <row r="480" spans="3:17" ht="12.75">
      <c r="C480" s="92"/>
      <c r="D480" s="92"/>
      <c r="E480" s="92"/>
      <c r="F480" s="92"/>
      <c r="G480" s="92"/>
      <c r="H480" s="92"/>
      <c r="I480" s="92"/>
      <c r="J480" s="93"/>
      <c r="K480" s="93"/>
      <c r="L480" s="90"/>
      <c r="M480" s="90"/>
      <c r="N480" s="90"/>
      <c r="Q480" s="10"/>
    </row>
    <row r="481" spans="3:17" ht="12.75">
      <c r="C481" s="92"/>
      <c r="D481" s="92"/>
      <c r="E481" s="92"/>
      <c r="F481" s="92"/>
      <c r="G481" s="92"/>
      <c r="H481" s="92"/>
      <c r="I481" s="92"/>
      <c r="J481" s="93"/>
      <c r="K481" s="93"/>
      <c r="L481" s="90"/>
      <c r="M481" s="90"/>
      <c r="N481" s="90"/>
      <c r="Q481" s="10"/>
    </row>
    <row r="482" spans="3:17" ht="12.75">
      <c r="C482" s="92"/>
      <c r="D482" s="92"/>
      <c r="E482" s="92"/>
      <c r="F482" s="92"/>
      <c r="G482" s="92"/>
      <c r="H482" s="92"/>
      <c r="I482" s="92"/>
      <c r="J482" s="93"/>
      <c r="K482" s="93"/>
      <c r="L482" s="90"/>
      <c r="M482" s="90"/>
      <c r="N482" s="90"/>
      <c r="Q482" s="10"/>
    </row>
    <row r="483" spans="3:17" ht="12.75">
      <c r="C483" s="92"/>
      <c r="D483" s="92"/>
      <c r="E483" s="92"/>
      <c r="F483" s="92"/>
      <c r="G483" s="92"/>
      <c r="H483" s="92"/>
      <c r="I483" s="92"/>
      <c r="J483" s="93"/>
      <c r="K483" s="93"/>
      <c r="L483" s="90"/>
      <c r="M483" s="90"/>
      <c r="N483" s="90"/>
      <c r="Q483" s="10"/>
    </row>
    <row r="484" spans="3:17" ht="12.75">
      <c r="C484" s="92"/>
      <c r="D484" s="92"/>
      <c r="E484" s="92"/>
      <c r="F484" s="92"/>
      <c r="G484" s="92"/>
      <c r="H484" s="92"/>
      <c r="I484" s="92"/>
      <c r="J484" s="93"/>
      <c r="K484" s="93"/>
      <c r="L484" s="90"/>
      <c r="M484" s="90"/>
      <c r="N484" s="90"/>
      <c r="Q484" s="10"/>
    </row>
    <row r="485" spans="3:17" ht="12.75">
      <c r="C485" s="92"/>
      <c r="D485" s="92"/>
      <c r="E485" s="92"/>
      <c r="F485" s="92"/>
      <c r="G485" s="92"/>
      <c r="H485" s="92"/>
      <c r="I485" s="92"/>
      <c r="J485" s="93"/>
      <c r="K485" s="93"/>
      <c r="L485" s="90"/>
      <c r="M485" s="90"/>
      <c r="N485" s="90"/>
      <c r="Q485" s="10"/>
    </row>
    <row r="486" spans="3:17" ht="12.75">
      <c r="C486" s="92"/>
      <c r="D486" s="92"/>
      <c r="E486" s="92"/>
      <c r="F486" s="92"/>
      <c r="G486" s="92"/>
      <c r="H486" s="92"/>
      <c r="I486" s="92"/>
      <c r="J486" s="93"/>
      <c r="K486" s="93"/>
      <c r="L486" s="90"/>
      <c r="M486" s="90"/>
      <c r="N486" s="90"/>
      <c r="Q486" s="10"/>
    </row>
    <row r="487" spans="3:17" ht="12.75">
      <c r="C487" s="92"/>
      <c r="D487" s="92"/>
      <c r="E487" s="92"/>
      <c r="F487" s="92"/>
      <c r="G487" s="92"/>
      <c r="H487" s="92"/>
      <c r="I487" s="92"/>
      <c r="J487" s="93"/>
      <c r="K487" s="93"/>
      <c r="L487" s="90"/>
      <c r="M487" s="90"/>
      <c r="N487" s="90"/>
      <c r="Q487" s="10"/>
    </row>
    <row r="488" spans="3:17" ht="12.75">
      <c r="C488" s="92"/>
      <c r="D488" s="92"/>
      <c r="E488" s="92"/>
      <c r="F488" s="92"/>
      <c r="G488" s="92"/>
      <c r="H488" s="92"/>
      <c r="I488" s="92"/>
      <c r="J488" s="93"/>
      <c r="K488" s="93"/>
      <c r="L488" s="90"/>
      <c r="M488" s="90"/>
      <c r="N488" s="90"/>
      <c r="Q488" s="10"/>
    </row>
    <row r="489" spans="3:17" ht="12.75">
      <c r="C489" s="92"/>
      <c r="D489" s="92"/>
      <c r="E489" s="92"/>
      <c r="F489" s="92"/>
      <c r="G489" s="92"/>
      <c r="H489" s="92"/>
      <c r="I489" s="92"/>
      <c r="J489" s="93"/>
      <c r="K489" s="93"/>
      <c r="L489" s="90"/>
      <c r="M489" s="90"/>
      <c r="N489" s="90"/>
      <c r="Q489" s="10"/>
    </row>
    <row r="490" spans="3:17" ht="12.75">
      <c r="C490" s="92"/>
      <c r="D490" s="92"/>
      <c r="E490" s="92"/>
      <c r="F490" s="92"/>
      <c r="G490" s="92"/>
      <c r="H490" s="92"/>
      <c r="I490" s="92"/>
      <c r="J490" s="93"/>
      <c r="K490" s="93"/>
      <c r="L490" s="90"/>
      <c r="M490" s="90"/>
      <c r="N490" s="90"/>
      <c r="Q490" s="10"/>
    </row>
    <row r="491" spans="3:17" ht="12.75">
      <c r="C491" s="92"/>
      <c r="D491" s="92"/>
      <c r="E491" s="92"/>
      <c r="F491" s="92"/>
      <c r="G491" s="92"/>
      <c r="H491" s="92"/>
      <c r="I491" s="92"/>
      <c r="J491" s="93"/>
      <c r="K491" s="93"/>
      <c r="L491" s="90"/>
      <c r="M491" s="90"/>
      <c r="N491" s="90"/>
      <c r="Q491" s="10"/>
    </row>
    <row r="492" spans="3:17" ht="12.75">
      <c r="C492" s="92"/>
      <c r="D492" s="92"/>
      <c r="E492" s="92"/>
      <c r="F492" s="92"/>
      <c r="G492" s="92"/>
      <c r="H492" s="92"/>
      <c r="I492" s="92"/>
      <c r="J492" s="93"/>
      <c r="K492" s="93"/>
      <c r="L492" s="90"/>
      <c r="M492" s="90"/>
      <c r="N492" s="90"/>
      <c r="Q492" s="10"/>
    </row>
    <row r="493" spans="3:17" ht="12.75">
      <c r="C493" s="92"/>
      <c r="D493" s="92"/>
      <c r="E493" s="92"/>
      <c r="F493" s="92"/>
      <c r="G493" s="92"/>
      <c r="H493" s="92"/>
      <c r="I493" s="92"/>
      <c r="J493" s="93"/>
      <c r="K493" s="93"/>
      <c r="L493" s="90"/>
      <c r="M493" s="90"/>
      <c r="N493" s="90"/>
      <c r="Q493" s="10"/>
    </row>
    <row r="494" spans="3:17" ht="12.75">
      <c r="C494" s="92"/>
      <c r="D494" s="92"/>
      <c r="E494" s="92"/>
      <c r="F494" s="92"/>
      <c r="G494" s="92"/>
      <c r="H494" s="92"/>
      <c r="I494" s="92"/>
      <c r="J494" s="93"/>
      <c r="K494" s="93"/>
      <c r="L494" s="90"/>
      <c r="M494" s="90"/>
      <c r="N494" s="90"/>
      <c r="Q494" s="10"/>
    </row>
    <row r="495" spans="3:17" ht="12.75">
      <c r="C495" s="92"/>
      <c r="D495" s="92"/>
      <c r="E495" s="92"/>
      <c r="F495" s="92"/>
      <c r="G495" s="92"/>
      <c r="H495" s="92"/>
      <c r="I495" s="92"/>
      <c r="J495" s="93"/>
      <c r="K495" s="93"/>
      <c r="L495" s="90"/>
      <c r="M495" s="90"/>
      <c r="N495" s="90"/>
      <c r="Q495" s="10"/>
    </row>
    <row r="496" spans="3:17" ht="12.75">
      <c r="C496" s="92"/>
      <c r="D496" s="92"/>
      <c r="E496" s="92"/>
      <c r="F496" s="92"/>
      <c r="G496" s="92"/>
      <c r="H496" s="92"/>
      <c r="I496" s="92"/>
      <c r="J496" s="93"/>
      <c r="K496" s="93"/>
      <c r="L496" s="90"/>
      <c r="M496" s="90"/>
      <c r="N496" s="90"/>
      <c r="Q496" s="10"/>
    </row>
    <row r="497" spans="3:17" ht="12.75">
      <c r="C497" s="92"/>
      <c r="D497" s="92"/>
      <c r="E497" s="92"/>
      <c r="F497" s="92"/>
      <c r="G497" s="92"/>
      <c r="H497" s="92"/>
      <c r="I497" s="92"/>
      <c r="J497" s="93"/>
      <c r="K497" s="93"/>
      <c r="L497" s="90"/>
      <c r="M497" s="90"/>
      <c r="N497" s="90"/>
      <c r="Q497" s="10"/>
    </row>
    <row r="498" spans="3:17" ht="12.75">
      <c r="C498" s="92"/>
      <c r="D498" s="92"/>
      <c r="E498" s="92"/>
      <c r="F498" s="92"/>
      <c r="G498" s="92"/>
      <c r="H498" s="92"/>
      <c r="I498" s="92"/>
      <c r="J498" s="93"/>
      <c r="K498" s="93"/>
      <c r="L498" s="90"/>
      <c r="M498" s="90"/>
      <c r="N498" s="90"/>
      <c r="Q498" s="10"/>
    </row>
    <row r="499" spans="3:17" ht="12.75">
      <c r="C499" s="92"/>
      <c r="D499" s="92"/>
      <c r="E499" s="92"/>
      <c r="F499" s="92"/>
      <c r="G499" s="92"/>
      <c r="H499" s="92"/>
      <c r="I499" s="92"/>
      <c r="J499" s="93"/>
      <c r="K499" s="93"/>
      <c r="L499" s="90"/>
      <c r="M499" s="90"/>
      <c r="N499" s="90"/>
      <c r="Q499" s="10"/>
    </row>
    <row r="500" spans="3:17" ht="12.75">
      <c r="C500" s="92"/>
      <c r="D500" s="92"/>
      <c r="E500" s="92"/>
      <c r="F500" s="92"/>
      <c r="G500" s="92"/>
      <c r="H500" s="92"/>
      <c r="I500" s="92"/>
      <c r="J500" s="93"/>
      <c r="K500" s="93"/>
      <c r="L500" s="90"/>
      <c r="M500" s="90"/>
      <c r="N500" s="90"/>
      <c r="Q500" s="10"/>
    </row>
    <row r="501" spans="3:17" ht="12.75">
      <c r="C501" s="92"/>
      <c r="D501" s="92"/>
      <c r="E501" s="92"/>
      <c r="F501" s="92"/>
      <c r="G501" s="92"/>
      <c r="H501" s="92"/>
      <c r="I501" s="92"/>
      <c r="J501" s="93"/>
      <c r="K501" s="93"/>
      <c r="L501" s="90"/>
      <c r="M501" s="90"/>
      <c r="N501" s="90"/>
      <c r="Q501" s="10"/>
    </row>
    <row r="502" spans="3:17" ht="12.75">
      <c r="C502" s="92"/>
      <c r="D502" s="92"/>
      <c r="E502" s="92"/>
      <c r="F502" s="92"/>
      <c r="G502" s="92"/>
      <c r="H502" s="92"/>
      <c r="I502" s="92"/>
      <c r="J502" s="93"/>
      <c r="K502" s="93"/>
      <c r="L502" s="90"/>
      <c r="M502" s="90"/>
      <c r="N502" s="90"/>
      <c r="Q502" s="10"/>
    </row>
    <row r="503" spans="3:17" ht="12.75">
      <c r="C503" s="92"/>
      <c r="D503" s="92"/>
      <c r="E503" s="92"/>
      <c r="F503" s="92"/>
      <c r="G503" s="92"/>
      <c r="H503" s="92"/>
      <c r="I503" s="92"/>
      <c r="J503" s="93"/>
      <c r="K503" s="93"/>
      <c r="L503" s="90"/>
      <c r="M503" s="90"/>
      <c r="N503" s="90"/>
      <c r="Q503" s="10"/>
    </row>
    <row r="504" spans="3:17" ht="12.75">
      <c r="C504" s="92"/>
      <c r="D504" s="92"/>
      <c r="E504" s="92"/>
      <c r="F504" s="92"/>
      <c r="G504" s="92"/>
      <c r="H504" s="92"/>
      <c r="I504" s="92"/>
      <c r="J504" s="93"/>
      <c r="K504" s="93"/>
      <c r="L504" s="90"/>
      <c r="M504" s="90"/>
      <c r="N504" s="90"/>
      <c r="Q504" s="10"/>
    </row>
    <row r="505" spans="3:17" ht="12.75">
      <c r="C505" s="92"/>
      <c r="D505" s="92"/>
      <c r="E505" s="92"/>
      <c r="F505" s="92"/>
      <c r="G505" s="92"/>
      <c r="H505" s="92"/>
      <c r="I505" s="92"/>
      <c r="J505" s="93"/>
      <c r="K505" s="93"/>
      <c r="L505" s="90"/>
      <c r="M505" s="90"/>
      <c r="N505" s="90"/>
      <c r="Q505" s="10"/>
    </row>
    <row r="506" spans="3:17" ht="12.75">
      <c r="C506" s="92"/>
      <c r="D506" s="92"/>
      <c r="E506" s="92"/>
      <c r="F506" s="92"/>
      <c r="G506" s="92"/>
      <c r="H506" s="92"/>
      <c r="I506" s="92"/>
      <c r="J506" s="93"/>
      <c r="K506" s="93"/>
      <c r="L506" s="90"/>
      <c r="M506" s="90"/>
      <c r="N506" s="90"/>
      <c r="Q506" s="10"/>
    </row>
    <row r="507" spans="3:17" ht="12.75">
      <c r="C507" s="92"/>
      <c r="D507" s="92"/>
      <c r="E507" s="92"/>
      <c r="F507" s="92"/>
      <c r="G507" s="92"/>
      <c r="H507" s="92"/>
      <c r="I507" s="92"/>
      <c r="J507" s="93"/>
      <c r="K507" s="93"/>
      <c r="L507" s="90"/>
      <c r="M507" s="90"/>
      <c r="N507" s="90"/>
      <c r="Q507" s="10"/>
    </row>
    <row r="508" spans="3:17" ht="12.75">
      <c r="C508" s="92"/>
      <c r="D508" s="92"/>
      <c r="E508" s="92"/>
      <c r="F508" s="92"/>
      <c r="G508" s="92"/>
      <c r="H508" s="92"/>
      <c r="I508" s="92"/>
      <c r="J508" s="93"/>
      <c r="K508" s="93"/>
      <c r="L508" s="90"/>
      <c r="M508" s="90"/>
      <c r="N508" s="90"/>
      <c r="Q508" s="10"/>
    </row>
    <row r="509" spans="3:17" ht="12.75">
      <c r="C509" s="92"/>
      <c r="D509" s="92"/>
      <c r="E509" s="92"/>
      <c r="F509" s="92"/>
      <c r="G509" s="92"/>
      <c r="H509" s="92"/>
      <c r="I509" s="92"/>
      <c r="J509" s="93"/>
      <c r="K509" s="93"/>
      <c r="L509" s="90"/>
      <c r="M509" s="90"/>
      <c r="N509" s="90"/>
      <c r="Q509" s="10"/>
    </row>
    <row r="510" spans="3:17" ht="12.75">
      <c r="C510" s="92"/>
      <c r="D510" s="92"/>
      <c r="E510" s="92"/>
      <c r="F510" s="92"/>
      <c r="G510" s="92"/>
      <c r="H510" s="92"/>
      <c r="I510" s="92"/>
      <c r="J510" s="93"/>
      <c r="K510" s="93"/>
      <c r="L510" s="90"/>
      <c r="M510" s="90"/>
      <c r="N510" s="90"/>
      <c r="Q510" s="10"/>
    </row>
    <row r="511" spans="3:17" ht="12.75">
      <c r="C511" s="92"/>
      <c r="D511" s="92"/>
      <c r="E511" s="92"/>
      <c r="F511" s="92"/>
      <c r="G511" s="92"/>
      <c r="H511" s="92"/>
      <c r="I511" s="92"/>
      <c r="J511" s="93"/>
      <c r="K511" s="93"/>
      <c r="L511" s="90"/>
      <c r="M511" s="90"/>
      <c r="N511" s="90"/>
      <c r="Q511" s="10"/>
    </row>
    <row r="512" spans="3:17" ht="12.75">
      <c r="C512" s="92"/>
      <c r="D512" s="92"/>
      <c r="E512" s="92"/>
      <c r="F512" s="92"/>
      <c r="G512" s="92"/>
      <c r="H512" s="92"/>
      <c r="I512" s="92"/>
      <c r="J512" s="93"/>
      <c r="K512" s="93"/>
      <c r="L512" s="90"/>
      <c r="M512" s="90"/>
      <c r="N512" s="90"/>
      <c r="Q512" s="10"/>
    </row>
    <row r="513" spans="3:17" ht="12.75">
      <c r="C513" s="92"/>
      <c r="D513" s="92"/>
      <c r="E513" s="92"/>
      <c r="F513" s="92"/>
      <c r="G513" s="92"/>
      <c r="H513" s="92"/>
      <c r="I513" s="92"/>
      <c r="J513" s="93"/>
      <c r="K513" s="93"/>
      <c r="L513" s="90"/>
      <c r="M513" s="90"/>
      <c r="N513" s="90"/>
      <c r="Q513" s="10"/>
    </row>
    <row r="514" spans="3:17" ht="12.75">
      <c r="C514" s="92"/>
      <c r="D514" s="92"/>
      <c r="E514" s="92"/>
      <c r="F514" s="92"/>
      <c r="G514" s="92"/>
      <c r="H514" s="92"/>
      <c r="I514" s="92"/>
      <c r="J514" s="93"/>
      <c r="K514" s="93"/>
      <c r="L514" s="90"/>
      <c r="M514" s="90"/>
      <c r="N514" s="90"/>
      <c r="Q514" s="10"/>
    </row>
    <row r="515" spans="3:17" ht="12.75">
      <c r="C515" s="92"/>
      <c r="D515" s="92"/>
      <c r="E515" s="92"/>
      <c r="F515" s="92"/>
      <c r="G515" s="92"/>
      <c r="H515" s="92"/>
      <c r="I515" s="92"/>
      <c r="J515" s="93"/>
      <c r="K515" s="93"/>
      <c r="L515" s="90"/>
      <c r="M515" s="90"/>
      <c r="N515" s="90"/>
      <c r="Q515" s="10"/>
    </row>
    <row r="516" spans="3:17" ht="12.75">
      <c r="C516" s="92"/>
      <c r="D516" s="92"/>
      <c r="E516" s="92"/>
      <c r="F516" s="92"/>
      <c r="G516" s="92"/>
      <c r="H516" s="92"/>
      <c r="I516" s="92"/>
      <c r="J516" s="93"/>
      <c r="K516" s="93"/>
      <c r="L516" s="90"/>
      <c r="M516" s="90"/>
      <c r="N516" s="90"/>
      <c r="Q516" s="10"/>
    </row>
    <row r="517" spans="3:17" ht="12.75">
      <c r="C517" s="92"/>
      <c r="D517" s="92"/>
      <c r="E517" s="92"/>
      <c r="F517" s="92"/>
      <c r="G517" s="92"/>
      <c r="H517" s="92"/>
      <c r="I517" s="92"/>
      <c r="J517" s="93"/>
      <c r="K517" s="93"/>
      <c r="L517" s="90"/>
      <c r="M517" s="90"/>
      <c r="N517" s="90"/>
      <c r="Q517" s="10"/>
    </row>
    <row r="518" spans="3:17" ht="12.75">
      <c r="C518" s="92"/>
      <c r="D518" s="92"/>
      <c r="E518" s="92"/>
      <c r="F518" s="92"/>
      <c r="G518" s="92"/>
      <c r="H518" s="92"/>
      <c r="I518" s="92"/>
      <c r="J518" s="93"/>
      <c r="K518" s="93"/>
      <c r="L518" s="90"/>
      <c r="M518" s="90"/>
      <c r="N518" s="90"/>
      <c r="Q518" s="10"/>
    </row>
    <row r="519" spans="3:17" ht="12.75">
      <c r="C519" s="92"/>
      <c r="D519" s="92"/>
      <c r="E519" s="92"/>
      <c r="F519" s="92"/>
      <c r="G519" s="92"/>
      <c r="H519" s="92"/>
      <c r="I519" s="92"/>
      <c r="J519" s="93"/>
      <c r="K519" s="93"/>
      <c r="L519" s="90"/>
      <c r="M519" s="90"/>
      <c r="N519" s="90"/>
      <c r="Q519" s="10"/>
    </row>
    <row r="520" spans="3:17" ht="12.75">
      <c r="C520" s="92"/>
      <c r="D520" s="92"/>
      <c r="E520" s="92"/>
      <c r="F520" s="92"/>
      <c r="G520" s="92"/>
      <c r="H520" s="92"/>
      <c r="I520" s="92"/>
      <c r="J520" s="93"/>
      <c r="K520" s="93"/>
      <c r="L520" s="90"/>
      <c r="M520" s="90"/>
      <c r="N520" s="90"/>
      <c r="Q520" s="10"/>
    </row>
    <row r="521" spans="3:17" ht="12.75">
      <c r="C521" s="92"/>
      <c r="D521" s="92"/>
      <c r="E521" s="92"/>
      <c r="F521" s="92"/>
      <c r="G521" s="92"/>
      <c r="H521" s="92"/>
      <c r="I521" s="92"/>
      <c r="J521" s="93"/>
      <c r="K521" s="93"/>
      <c r="L521" s="90"/>
      <c r="M521" s="90"/>
      <c r="N521" s="90"/>
      <c r="Q521" s="10"/>
    </row>
    <row r="522" spans="3:17" ht="12.75">
      <c r="C522" s="92"/>
      <c r="D522" s="92"/>
      <c r="E522" s="92"/>
      <c r="F522" s="92"/>
      <c r="G522" s="92"/>
      <c r="H522" s="92"/>
      <c r="I522" s="92"/>
      <c r="J522" s="93"/>
      <c r="K522" s="93"/>
      <c r="L522" s="90"/>
      <c r="M522" s="90"/>
      <c r="N522" s="90"/>
      <c r="Q522" s="10"/>
    </row>
    <row r="523" spans="3:17" ht="12.75">
      <c r="C523" s="92"/>
      <c r="D523" s="92"/>
      <c r="E523" s="92"/>
      <c r="F523" s="92"/>
      <c r="G523" s="92"/>
      <c r="H523" s="92"/>
      <c r="I523" s="92"/>
      <c r="J523" s="93"/>
      <c r="K523" s="93"/>
      <c r="L523" s="90"/>
      <c r="M523" s="90"/>
      <c r="N523" s="90"/>
      <c r="Q523" s="10"/>
    </row>
    <row r="524" spans="3:17" ht="12.75">
      <c r="C524" s="92"/>
      <c r="D524" s="92"/>
      <c r="E524" s="92"/>
      <c r="F524" s="92"/>
      <c r="G524" s="92"/>
      <c r="H524" s="92"/>
      <c r="I524" s="92"/>
      <c r="J524" s="93"/>
      <c r="K524" s="93"/>
      <c r="L524" s="90"/>
      <c r="M524" s="90"/>
      <c r="N524" s="90"/>
      <c r="Q524" s="10"/>
    </row>
    <row r="525" spans="3:17" ht="12.75">
      <c r="C525" s="92"/>
      <c r="D525" s="92"/>
      <c r="E525" s="92"/>
      <c r="F525" s="92"/>
      <c r="G525" s="92"/>
      <c r="H525" s="92"/>
      <c r="I525" s="92"/>
      <c r="J525" s="93"/>
      <c r="K525" s="93"/>
      <c r="L525" s="90"/>
      <c r="M525" s="90"/>
      <c r="N525" s="90"/>
      <c r="Q525" s="10"/>
    </row>
    <row r="526" spans="3:17" ht="12.75">
      <c r="C526" s="92"/>
      <c r="D526" s="92"/>
      <c r="E526" s="92"/>
      <c r="F526" s="92"/>
      <c r="G526" s="92"/>
      <c r="H526" s="92"/>
      <c r="I526" s="92"/>
      <c r="J526" s="93"/>
      <c r="K526" s="93"/>
      <c r="L526" s="90"/>
      <c r="M526" s="90"/>
      <c r="N526" s="90"/>
      <c r="Q526" s="10"/>
    </row>
    <row r="527" spans="3:17" ht="12.75">
      <c r="C527" s="92"/>
      <c r="D527" s="92"/>
      <c r="E527" s="92"/>
      <c r="F527" s="92"/>
      <c r="G527" s="92"/>
      <c r="H527" s="92"/>
      <c r="I527" s="92"/>
      <c r="J527" s="93"/>
      <c r="K527" s="93"/>
      <c r="L527" s="90"/>
      <c r="M527" s="90"/>
      <c r="N527" s="90"/>
      <c r="Q527" s="10"/>
    </row>
    <row r="528" spans="3:17" ht="12.75">
      <c r="C528" s="92"/>
      <c r="D528" s="92"/>
      <c r="E528" s="92"/>
      <c r="F528" s="92"/>
      <c r="G528" s="92"/>
      <c r="H528" s="92"/>
      <c r="I528" s="92"/>
      <c r="J528" s="93"/>
      <c r="K528" s="93"/>
      <c r="L528" s="90"/>
      <c r="M528" s="90"/>
      <c r="N528" s="90"/>
      <c r="Q528" s="10"/>
    </row>
    <row r="529" spans="3:17" ht="12.75">
      <c r="C529" s="92"/>
      <c r="D529" s="92"/>
      <c r="E529" s="92"/>
      <c r="F529" s="92"/>
      <c r="G529" s="92"/>
      <c r="H529" s="92"/>
      <c r="I529" s="92"/>
      <c r="J529" s="93"/>
      <c r="K529" s="93"/>
      <c r="L529" s="90"/>
      <c r="M529" s="90"/>
      <c r="N529" s="90"/>
      <c r="Q529" s="10"/>
    </row>
    <row r="530" spans="3:17" ht="12.75">
      <c r="C530" s="92"/>
      <c r="D530" s="92"/>
      <c r="E530" s="92"/>
      <c r="F530" s="92"/>
      <c r="G530" s="92"/>
      <c r="H530" s="92"/>
      <c r="I530" s="92"/>
      <c r="J530" s="93"/>
      <c r="K530" s="93"/>
      <c r="L530" s="90"/>
      <c r="M530" s="90"/>
      <c r="N530" s="90"/>
      <c r="Q530" s="10"/>
    </row>
    <row r="531" spans="3:17" ht="12.75">
      <c r="C531" s="92"/>
      <c r="D531" s="92"/>
      <c r="E531" s="92"/>
      <c r="F531" s="92"/>
      <c r="G531" s="92"/>
      <c r="H531" s="92"/>
      <c r="I531" s="92"/>
      <c r="J531" s="93"/>
      <c r="K531" s="93"/>
      <c r="L531" s="90"/>
      <c r="M531" s="90"/>
      <c r="N531" s="90"/>
      <c r="Q531" s="10"/>
    </row>
    <row r="532" spans="3:17" ht="12.75">
      <c r="C532" s="92"/>
      <c r="D532" s="92"/>
      <c r="E532" s="92"/>
      <c r="F532" s="92"/>
      <c r="G532" s="92"/>
      <c r="H532" s="92"/>
      <c r="I532" s="92"/>
      <c r="J532" s="93"/>
      <c r="K532" s="93"/>
      <c r="L532" s="90"/>
      <c r="M532" s="90"/>
      <c r="N532" s="90"/>
      <c r="Q532" s="10"/>
    </row>
    <row r="533" spans="3:17" ht="12.75">
      <c r="C533" s="92"/>
      <c r="D533" s="92"/>
      <c r="E533" s="92"/>
      <c r="F533" s="92"/>
      <c r="G533" s="92"/>
      <c r="H533" s="92"/>
      <c r="I533" s="92"/>
      <c r="J533" s="93"/>
      <c r="K533" s="93"/>
      <c r="L533" s="90"/>
      <c r="M533" s="90"/>
      <c r="N533" s="90"/>
      <c r="Q533" s="10"/>
    </row>
    <row r="534" spans="3:17" ht="12.75">
      <c r="C534" s="92"/>
      <c r="D534" s="92"/>
      <c r="E534" s="92"/>
      <c r="F534" s="92"/>
      <c r="G534" s="92"/>
      <c r="H534" s="92"/>
      <c r="I534" s="92"/>
      <c r="J534" s="93"/>
      <c r="K534" s="93"/>
      <c r="L534" s="90"/>
      <c r="M534" s="90"/>
      <c r="N534" s="90"/>
      <c r="Q534" s="10"/>
    </row>
    <row r="535" spans="3:17" ht="12.75">
      <c r="C535" s="92"/>
      <c r="D535" s="92"/>
      <c r="E535" s="92"/>
      <c r="F535" s="92"/>
      <c r="G535" s="92"/>
      <c r="H535" s="92"/>
      <c r="I535" s="92"/>
      <c r="J535" s="93"/>
      <c r="K535" s="93"/>
      <c r="L535" s="90"/>
      <c r="M535" s="90"/>
      <c r="N535" s="90"/>
      <c r="Q535" s="10"/>
    </row>
    <row r="536" spans="3:17" ht="12.75">
      <c r="C536" s="92"/>
      <c r="D536" s="92"/>
      <c r="E536" s="92"/>
      <c r="F536" s="92"/>
      <c r="G536" s="92"/>
      <c r="H536" s="92"/>
      <c r="I536" s="92"/>
      <c r="J536" s="93"/>
      <c r="K536" s="93"/>
      <c r="L536" s="90"/>
      <c r="M536" s="90"/>
      <c r="N536" s="90"/>
      <c r="Q536" s="10"/>
    </row>
    <row r="537" spans="3:17" ht="12.75">
      <c r="C537" s="92"/>
      <c r="D537" s="92"/>
      <c r="E537" s="92"/>
      <c r="F537" s="92"/>
      <c r="G537" s="92"/>
      <c r="H537" s="92"/>
      <c r="I537" s="92"/>
      <c r="J537" s="93"/>
      <c r="K537" s="93"/>
      <c r="L537" s="90"/>
      <c r="M537" s="90"/>
      <c r="N537" s="90"/>
      <c r="Q537" s="10"/>
    </row>
    <row r="538" spans="3:17" ht="12.75">
      <c r="C538" s="92"/>
      <c r="D538" s="92"/>
      <c r="E538" s="92"/>
      <c r="F538" s="92"/>
      <c r="G538" s="92"/>
      <c r="H538" s="92"/>
      <c r="I538" s="92"/>
      <c r="J538" s="93"/>
      <c r="K538" s="93"/>
      <c r="L538" s="90"/>
      <c r="M538" s="90"/>
      <c r="N538" s="90"/>
      <c r="Q538" s="10"/>
    </row>
    <row r="539" spans="3:17" ht="12.75">
      <c r="C539" s="92"/>
      <c r="D539" s="92"/>
      <c r="E539" s="92"/>
      <c r="F539" s="92"/>
      <c r="G539" s="92"/>
      <c r="H539" s="92"/>
      <c r="I539" s="92"/>
      <c r="J539" s="93"/>
      <c r="K539" s="93"/>
      <c r="L539" s="90"/>
      <c r="M539" s="90"/>
      <c r="N539" s="90"/>
      <c r="Q539" s="10"/>
    </row>
    <row r="540" spans="3:17" ht="12.75">
      <c r="C540" s="92"/>
      <c r="D540" s="92"/>
      <c r="E540" s="92"/>
      <c r="F540" s="92"/>
      <c r="G540" s="92"/>
      <c r="H540" s="92"/>
      <c r="I540" s="92"/>
      <c r="J540" s="93"/>
      <c r="K540" s="93"/>
      <c r="L540" s="90"/>
      <c r="M540" s="90"/>
      <c r="N540" s="90"/>
      <c r="Q540" s="10"/>
    </row>
    <row r="541" spans="3:17" ht="12.75">
      <c r="C541" s="92"/>
      <c r="D541" s="92"/>
      <c r="E541" s="92"/>
      <c r="F541" s="92"/>
      <c r="G541" s="92"/>
      <c r="H541" s="92"/>
      <c r="I541" s="92"/>
      <c r="J541" s="93"/>
      <c r="K541" s="93"/>
      <c r="L541" s="90"/>
      <c r="M541" s="90"/>
      <c r="N541" s="90"/>
      <c r="Q541" s="10"/>
    </row>
    <row r="542" spans="3:17" ht="12.75">
      <c r="C542" s="92"/>
      <c r="D542" s="92"/>
      <c r="E542" s="92"/>
      <c r="F542" s="92"/>
      <c r="G542" s="92"/>
      <c r="H542" s="92"/>
      <c r="I542" s="92"/>
      <c r="J542" s="93"/>
      <c r="K542" s="93"/>
      <c r="L542" s="90"/>
      <c r="M542" s="90"/>
      <c r="N542" s="90"/>
      <c r="Q542" s="10"/>
    </row>
    <row r="543" spans="3:17" ht="12.75">
      <c r="C543" s="92"/>
      <c r="D543" s="92"/>
      <c r="E543" s="92"/>
      <c r="F543" s="92"/>
      <c r="G543" s="92"/>
      <c r="H543" s="92"/>
      <c r="I543" s="92"/>
      <c r="J543" s="93"/>
      <c r="K543" s="93"/>
      <c r="L543" s="90"/>
      <c r="M543" s="90"/>
      <c r="N543" s="90"/>
      <c r="Q543" s="10"/>
    </row>
    <row r="544" spans="3:17" ht="12.75">
      <c r="C544" s="92"/>
      <c r="D544" s="92"/>
      <c r="E544" s="92"/>
      <c r="F544" s="92"/>
      <c r="G544" s="92"/>
      <c r="H544" s="92"/>
      <c r="I544" s="92"/>
      <c r="J544" s="93"/>
      <c r="K544" s="93"/>
      <c r="L544" s="90"/>
      <c r="M544" s="90"/>
      <c r="N544" s="90"/>
      <c r="Q544" s="10"/>
    </row>
    <row r="545" spans="3:17" ht="12.75">
      <c r="C545" s="92"/>
      <c r="D545" s="92"/>
      <c r="E545" s="92"/>
      <c r="F545" s="92"/>
      <c r="G545" s="92"/>
      <c r="H545" s="92"/>
      <c r="I545" s="92"/>
      <c r="J545" s="93"/>
      <c r="K545" s="93"/>
      <c r="L545" s="90"/>
      <c r="M545" s="90"/>
      <c r="N545" s="90"/>
      <c r="Q545" s="10"/>
    </row>
    <row r="546" spans="3:17" ht="12.75">
      <c r="C546" s="92"/>
      <c r="D546" s="92"/>
      <c r="E546" s="92"/>
      <c r="F546" s="92"/>
      <c r="G546" s="92"/>
      <c r="H546" s="92"/>
      <c r="I546" s="92"/>
      <c r="J546" s="93"/>
      <c r="K546" s="93"/>
      <c r="L546" s="90"/>
      <c r="M546" s="90"/>
      <c r="N546" s="90"/>
      <c r="Q546" s="10"/>
    </row>
    <row r="547" spans="3:17" ht="12.75">
      <c r="C547" s="92"/>
      <c r="D547" s="92"/>
      <c r="E547" s="92"/>
      <c r="F547" s="92"/>
      <c r="G547" s="92"/>
      <c r="H547" s="92"/>
      <c r="I547" s="92"/>
      <c r="J547" s="93"/>
      <c r="K547" s="93"/>
      <c r="L547" s="90"/>
      <c r="M547" s="90"/>
      <c r="N547" s="90"/>
      <c r="Q547" s="10"/>
    </row>
    <row r="548" spans="3:17" ht="12.75">
      <c r="C548" s="92"/>
      <c r="D548" s="92"/>
      <c r="E548" s="92"/>
      <c r="F548" s="92"/>
      <c r="G548" s="92"/>
      <c r="H548" s="92"/>
      <c r="I548" s="92"/>
      <c r="J548" s="93"/>
      <c r="K548" s="93"/>
      <c r="L548" s="90"/>
      <c r="M548" s="90"/>
      <c r="N548" s="90"/>
      <c r="Q548" s="10"/>
    </row>
    <row r="549" spans="3:17" ht="12.75">
      <c r="C549" s="92"/>
      <c r="D549" s="92"/>
      <c r="E549" s="92"/>
      <c r="F549" s="92"/>
      <c r="G549" s="92"/>
      <c r="H549" s="92"/>
      <c r="I549" s="92"/>
      <c r="J549" s="93"/>
      <c r="K549" s="93"/>
      <c r="L549" s="90"/>
      <c r="M549" s="90"/>
      <c r="N549" s="90"/>
      <c r="Q549" s="10"/>
    </row>
    <row r="550" spans="3:17" ht="12.75">
      <c r="C550" s="92"/>
      <c r="D550" s="92"/>
      <c r="E550" s="92"/>
      <c r="F550" s="92"/>
      <c r="G550" s="92"/>
      <c r="H550" s="92"/>
      <c r="I550" s="92"/>
      <c r="J550" s="93"/>
      <c r="K550" s="93"/>
      <c r="L550" s="90"/>
      <c r="M550" s="90"/>
      <c r="N550" s="90"/>
      <c r="Q550" s="10"/>
    </row>
    <row r="551" spans="3:17" ht="12.75">
      <c r="C551" s="92"/>
      <c r="D551" s="92"/>
      <c r="E551" s="92"/>
      <c r="F551" s="92"/>
      <c r="G551" s="92"/>
      <c r="H551" s="92"/>
      <c r="I551" s="92"/>
      <c r="J551" s="93"/>
      <c r="K551" s="93"/>
      <c r="L551" s="90"/>
      <c r="M551" s="90"/>
      <c r="N551" s="90"/>
      <c r="Q551" s="10"/>
    </row>
    <row r="552" spans="3:17" ht="12.75">
      <c r="C552" s="92"/>
      <c r="D552" s="92"/>
      <c r="E552" s="92"/>
      <c r="F552" s="92"/>
      <c r="G552" s="92"/>
      <c r="H552" s="92"/>
      <c r="I552" s="92"/>
      <c r="J552" s="93"/>
      <c r="K552" s="93"/>
      <c r="L552" s="90"/>
      <c r="M552" s="90"/>
      <c r="N552" s="90"/>
      <c r="Q552" s="10"/>
    </row>
    <row r="553" spans="3:17" ht="12.75">
      <c r="C553" s="92"/>
      <c r="D553" s="92"/>
      <c r="E553" s="92"/>
      <c r="F553" s="92"/>
      <c r="G553" s="92"/>
      <c r="H553" s="92"/>
      <c r="I553" s="92"/>
      <c r="J553" s="93"/>
      <c r="K553" s="93"/>
      <c r="L553" s="90"/>
      <c r="M553" s="90"/>
      <c r="N553" s="90"/>
      <c r="Q553" s="10"/>
    </row>
    <row r="554" spans="3:17" ht="12.75">
      <c r="C554" s="92"/>
      <c r="D554" s="92"/>
      <c r="E554" s="92"/>
      <c r="F554" s="92"/>
      <c r="G554" s="92"/>
      <c r="H554" s="92"/>
      <c r="I554" s="92"/>
      <c r="J554" s="93"/>
      <c r="K554" s="93"/>
      <c r="L554" s="90"/>
      <c r="M554" s="90"/>
      <c r="N554" s="90"/>
      <c r="Q554" s="10"/>
    </row>
    <row r="555" spans="3:17" ht="12.75">
      <c r="C555" s="92"/>
      <c r="D555" s="92"/>
      <c r="E555" s="92"/>
      <c r="F555" s="92"/>
      <c r="G555" s="92"/>
      <c r="H555" s="92"/>
      <c r="I555" s="92"/>
      <c r="J555" s="93"/>
      <c r="K555" s="93"/>
      <c r="L555" s="90"/>
      <c r="M555" s="90"/>
      <c r="N555" s="90"/>
      <c r="Q555" s="10"/>
    </row>
    <row r="556" spans="3:17" ht="12.75">
      <c r="C556" s="92"/>
      <c r="D556" s="92"/>
      <c r="E556" s="92"/>
      <c r="F556" s="92"/>
      <c r="G556" s="92"/>
      <c r="H556" s="92"/>
      <c r="I556" s="92"/>
      <c r="J556" s="93"/>
      <c r="K556" s="93"/>
      <c r="L556" s="90"/>
      <c r="M556" s="90"/>
      <c r="N556" s="90"/>
      <c r="Q556" s="10"/>
    </row>
    <row r="557" spans="3:17" ht="12.75">
      <c r="C557" s="92"/>
      <c r="D557" s="92"/>
      <c r="E557" s="92"/>
      <c r="F557" s="92"/>
      <c r="G557" s="92"/>
      <c r="H557" s="92"/>
      <c r="I557" s="92"/>
      <c r="J557" s="93"/>
      <c r="K557" s="93"/>
      <c r="L557" s="90"/>
      <c r="M557" s="90"/>
      <c r="N557" s="90"/>
      <c r="Q557" s="10"/>
    </row>
    <row r="558" spans="3:17" ht="12.75">
      <c r="C558" s="92"/>
      <c r="D558" s="92"/>
      <c r="E558" s="92"/>
      <c r="F558" s="92"/>
      <c r="G558" s="92"/>
      <c r="H558" s="92"/>
      <c r="I558" s="92"/>
      <c r="J558" s="93"/>
      <c r="K558" s="93"/>
      <c r="L558" s="90"/>
      <c r="M558" s="90"/>
      <c r="N558" s="90"/>
      <c r="Q558" s="10"/>
    </row>
    <row r="559" spans="3:17" ht="12.75">
      <c r="C559" s="92"/>
      <c r="D559" s="92"/>
      <c r="E559" s="92"/>
      <c r="F559" s="92"/>
      <c r="G559" s="92"/>
      <c r="H559" s="92"/>
      <c r="I559" s="92"/>
      <c r="J559" s="93"/>
      <c r="K559" s="93"/>
      <c r="L559" s="90"/>
      <c r="M559" s="90"/>
      <c r="N559" s="90"/>
      <c r="Q559" s="10"/>
    </row>
    <row r="560" spans="3:17" ht="12.75">
      <c r="C560" s="92"/>
      <c r="D560" s="92"/>
      <c r="E560" s="92"/>
      <c r="F560" s="92"/>
      <c r="G560" s="92"/>
      <c r="H560" s="92"/>
      <c r="I560" s="92"/>
      <c r="J560" s="93"/>
      <c r="K560" s="93"/>
      <c r="L560" s="90"/>
      <c r="M560" s="90"/>
      <c r="N560" s="90"/>
      <c r="Q560" s="10"/>
    </row>
    <row r="561" spans="3:17" ht="12.75">
      <c r="C561" s="92"/>
      <c r="D561" s="92"/>
      <c r="E561" s="92"/>
      <c r="F561" s="92"/>
      <c r="G561" s="92"/>
      <c r="H561" s="92"/>
      <c r="I561" s="92"/>
      <c r="J561" s="93"/>
      <c r="K561" s="93"/>
      <c r="L561" s="90"/>
      <c r="M561" s="90"/>
      <c r="N561" s="90"/>
      <c r="Q561" s="10"/>
    </row>
    <row r="562" spans="3:17" ht="12.75">
      <c r="C562" s="92"/>
      <c r="D562" s="92"/>
      <c r="E562" s="92"/>
      <c r="F562" s="92"/>
      <c r="G562" s="92"/>
      <c r="H562" s="92"/>
      <c r="I562" s="92"/>
      <c r="J562" s="93"/>
      <c r="K562" s="93"/>
      <c r="L562" s="90"/>
      <c r="M562" s="90"/>
      <c r="N562" s="90"/>
      <c r="Q562" s="10"/>
    </row>
    <row r="563" spans="3:17" ht="12.75">
      <c r="C563" s="92"/>
      <c r="D563" s="92"/>
      <c r="E563" s="92"/>
      <c r="F563" s="92"/>
      <c r="G563" s="92"/>
      <c r="H563" s="92"/>
      <c r="I563" s="92"/>
      <c r="J563" s="93"/>
      <c r="K563" s="93"/>
      <c r="L563" s="90"/>
      <c r="M563" s="90"/>
      <c r="N563" s="90"/>
      <c r="Q563" s="10"/>
    </row>
    <row r="564" spans="3:17" ht="12.75">
      <c r="C564" s="92"/>
      <c r="D564" s="92"/>
      <c r="E564" s="92"/>
      <c r="F564" s="92"/>
      <c r="G564" s="92"/>
      <c r="H564" s="92"/>
      <c r="I564" s="92"/>
      <c r="J564" s="93"/>
      <c r="K564" s="93"/>
      <c r="L564" s="90"/>
      <c r="M564" s="90"/>
      <c r="N564" s="90"/>
      <c r="Q564" s="10"/>
    </row>
    <row r="565" spans="3:17" ht="12.75">
      <c r="C565" s="92"/>
      <c r="D565" s="92"/>
      <c r="E565" s="92"/>
      <c r="F565" s="92"/>
      <c r="G565" s="92"/>
      <c r="H565" s="92"/>
      <c r="I565" s="92"/>
      <c r="J565" s="93"/>
      <c r="K565" s="93"/>
      <c r="L565" s="90"/>
      <c r="M565" s="90"/>
      <c r="N565" s="90"/>
      <c r="Q565" s="10"/>
    </row>
    <row r="566" spans="3:17" ht="12.75">
      <c r="C566" s="92"/>
      <c r="D566" s="92"/>
      <c r="E566" s="92"/>
      <c r="F566" s="92"/>
      <c r="G566" s="92"/>
      <c r="H566" s="92"/>
      <c r="I566" s="92"/>
      <c r="J566" s="93"/>
      <c r="K566" s="93"/>
      <c r="L566" s="90"/>
      <c r="M566" s="90"/>
      <c r="N566" s="90"/>
      <c r="Q566" s="10"/>
    </row>
    <row r="567" spans="3:17" ht="12.75">
      <c r="C567" s="92"/>
      <c r="D567" s="92"/>
      <c r="E567" s="92"/>
      <c r="F567" s="92"/>
      <c r="G567" s="92"/>
      <c r="H567" s="92"/>
      <c r="I567" s="92"/>
      <c r="J567" s="93"/>
      <c r="K567" s="93"/>
      <c r="L567" s="90"/>
      <c r="M567" s="90"/>
      <c r="N567" s="90"/>
      <c r="Q567" s="10"/>
    </row>
    <row r="568" spans="3:17" ht="12.75">
      <c r="C568" s="92"/>
      <c r="D568" s="92"/>
      <c r="E568" s="92"/>
      <c r="F568" s="92"/>
      <c r="G568" s="92"/>
      <c r="H568" s="92"/>
      <c r="I568" s="92"/>
      <c r="J568" s="93"/>
      <c r="K568" s="93"/>
      <c r="L568" s="90"/>
      <c r="M568" s="90"/>
      <c r="N568" s="90"/>
      <c r="Q568" s="10"/>
    </row>
    <row r="569" spans="3:17" ht="12.75">
      <c r="C569" s="92"/>
      <c r="D569" s="92"/>
      <c r="E569" s="92"/>
      <c r="F569" s="92"/>
      <c r="G569" s="92"/>
      <c r="H569" s="92"/>
      <c r="I569" s="92"/>
      <c r="J569" s="93"/>
      <c r="K569" s="93"/>
      <c r="L569" s="90"/>
      <c r="M569" s="90"/>
      <c r="N569" s="90"/>
      <c r="Q569" s="10"/>
    </row>
    <row r="570" spans="3:17" ht="12.75">
      <c r="C570" s="92"/>
      <c r="D570" s="92"/>
      <c r="E570" s="92"/>
      <c r="F570" s="92"/>
      <c r="G570" s="92"/>
      <c r="H570" s="92"/>
      <c r="I570" s="92"/>
      <c r="J570" s="93"/>
      <c r="K570" s="93"/>
      <c r="L570" s="90"/>
      <c r="M570" s="90"/>
      <c r="N570" s="90"/>
      <c r="Q570" s="10"/>
    </row>
    <row r="571" spans="3:17" ht="12.75">
      <c r="C571" s="92"/>
      <c r="D571" s="92"/>
      <c r="E571" s="92"/>
      <c r="F571" s="92"/>
      <c r="G571" s="92"/>
      <c r="H571" s="92"/>
      <c r="I571" s="92"/>
      <c r="J571" s="93"/>
      <c r="K571" s="93"/>
      <c r="L571" s="90"/>
      <c r="M571" s="90"/>
      <c r="N571" s="90"/>
      <c r="Q571" s="10"/>
    </row>
    <row r="572" spans="3:17" ht="12.75">
      <c r="C572" s="92"/>
      <c r="D572" s="92"/>
      <c r="E572" s="92"/>
      <c r="F572" s="92"/>
      <c r="G572" s="92"/>
      <c r="H572" s="92"/>
      <c r="I572" s="92"/>
      <c r="J572" s="93"/>
      <c r="K572" s="93"/>
      <c r="L572" s="90"/>
      <c r="M572" s="90"/>
      <c r="N572" s="90"/>
      <c r="Q572" s="10"/>
    </row>
    <row r="573" spans="3:17" ht="12.75">
      <c r="C573" s="92"/>
      <c r="D573" s="92"/>
      <c r="E573" s="92"/>
      <c r="F573" s="92"/>
      <c r="G573" s="92"/>
      <c r="H573" s="92"/>
      <c r="I573" s="92"/>
      <c r="J573" s="93"/>
      <c r="K573" s="93"/>
      <c r="L573" s="90"/>
      <c r="M573" s="90"/>
      <c r="N573" s="90"/>
      <c r="Q573" s="10"/>
    </row>
    <row r="574" spans="3:17" ht="12.75">
      <c r="C574" s="92"/>
      <c r="D574" s="92"/>
      <c r="E574" s="92"/>
      <c r="F574" s="92"/>
      <c r="G574" s="92"/>
      <c r="H574" s="92"/>
      <c r="I574" s="92"/>
      <c r="J574" s="93"/>
      <c r="K574" s="93"/>
      <c r="L574" s="90"/>
      <c r="M574" s="90"/>
      <c r="N574" s="90"/>
      <c r="Q574" s="10"/>
    </row>
    <row r="575" spans="3:17" ht="12.75">
      <c r="C575" s="92"/>
      <c r="D575" s="92"/>
      <c r="E575" s="92"/>
      <c r="F575" s="92"/>
      <c r="G575" s="92"/>
      <c r="H575" s="92"/>
      <c r="I575" s="92"/>
      <c r="J575" s="93"/>
      <c r="K575" s="93"/>
      <c r="L575" s="90"/>
      <c r="M575" s="90"/>
      <c r="N575" s="90"/>
      <c r="Q575" s="10"/>
    </row>
    <row r="576" spans="3:17" ht="12.75">
      <c r="C576" s="92"/>
      <c r="D576" s="92"/>
      <c r="E576" s="92"/>
      <c r="F576" s="92"/>
      <c r="G576" s="92"/>
      <c r="H576" s="92"/>
      <c r="I576" s="92"/>
      <c r="J576" s="93"/>
      <c r="K576" s="93"/>
      <c r="L576" s="90"/>
      <c r="M576" s="90"/>
      <c r="N576" s="90"/>
      <c r="Q576" s="10"/>
    </row>
    <row r="577" spans="3:17" ht="12.75">
      <c r="C577" s="92"/>
      <c r="D577" s="92"/>
      <c r="E577" s="92"/>
      <c r="F577" s="92"/>
      <c r="G577" s="92"/>
      <c r="H577" s="92"/>
      <c r="I577" s="92"/>
      <c r="J577" s="93"/>
      <c r="K577" s="93"/>
      <c r="L577" s="90"/>
      <c r="M577" s="90"/>
      <c r="N577" s="90"/>
      <c r="Q577" s="10"/>
    </row>
    <row r="578" spans="3:17" ht="12.75">
      <c r="C578" s="92"/>
      <c r="D578" s="92"/>
      <c r="E578" s="92"/>
      <c r="F578" s="92"/>
      <c r="G578" s="92"/>
      <c r="H578" s="92"/>
      <c r="I578" s="92"/>
      <c r="J578" s="93"/>
      <c r="K578" s="93"/>
      <c r="L578" s="90"/>
      <c r="M578" s="90"/>
      <c r="N578" s="90"/>
      <c r="Q578" s="10"/>
    </row>
    <row r="579" spans="3:17" ht="12.75">
      <c r="C579" s="92"/>
      <c r="D579" s="92"/>
      <c r="E579" s="92"/>
      <c r="F579" s="92"/>
      <c r="G579" s="92"/>
      <c r="H579" s="92"/>
      <c r="I579" s="92"/>
      <c r="J579" s="93"/>
      <c r="K579" s="93"/>
      <c r="L579" s="90"/>
      <c r="M579" s="90"/>
      <c r="N579" s="90"/>
      <c r="Q579" s="10"/>
    </row>
    <row r="580" spans="3:17" ht="12.75">
      <c r="C580" s="92"/>
      <c r="D580" s="92"/>
      <c r="E580" s="92"/>
      <c r="F580" s="92"/>
      <c r="G580" s="92"/>
      <c r="H580" s="92"/>
      <c r="I580" s="92"/>
      <c r="J580" s="93"/>
      <c r="K580" s="93"/>
      <c r="L580" s="90"/>
      <c r="M580" s="90"/>
      <c r="N580" s="90"/>
      <c r="Q580" s="10"/>
    </row>
    <row r="581" spans="3:17" ht="12.75">
      <c r="C581" s="92"/>
      <c r="D581" s="92"/>
      <c r="E581" s="92"/>
      <c r="F581" s="92"/>
      <c r="G581" s="92"/>
      <c r="H581" s="92"/>
      <c r="I581" s="92"/>
      <c r="J581" s="93"/>
      <c r="K581" s="93"/>
      <c r="L581" s="90"/>
      <c r="M581" s="90"/>
      <c r="N581" s="90"/>
      <c r="Q581" s="10"/>
    </row>
    <row r="582" spans="3:17" ht="12.75">
      <c r="C582" s="92"/>
      <c r="D582" s="92"/>
      <c r="E582" s="92"/>
      <c r="F582" s="92"/>
      <c r="G582" s="92"/>
      <c r="H582" s="92"/>
      <c r="I582" s="92"/>
      <c r="J582" s="93"/>
      <c r="K582" s="93"/>
      <c r="L582" s="90"/>
      <c r="M582" s="90"/>
      <c r="N582" s="90"/>
      <c r="Q582" s="10"/>
    </row>
    <row r="583" spans="3:17" ht="12.75">
      <c r="C583" s="92"/>
      <c r="D583" s="92"/>
      <c r="E583" s="92"/>
      <c r="F583" s="92"/>
      <c r="G583" s="92"/>
      <c r="H583" s="92"/>
      <c r="I583" s="92"/>
      <c r="J583" s="93"/>
      <c r="K583" s="93"/>
      <c r="L583" s="90"/>
      <c r="M583" s="90"/>
      <c r="N583" s="90"/>
      <c r="Q583" s="10"/>
    </row>
    <row r="584" spans="3:17" ht="12.75">
      <c r="C584" s="92"/>
      <c r="D584" s="92"/>
      <c r="E584" s="92"/>
      <c r="F584" s="92"/>
      <c r="G584" s="92"/>
      <c r="H584" s="92"/>
      <c r="I584" s="92"/>
      <c r="J584" s="93"/>
      <c r="K584" s="93"/>
      <c r="L584" s="90"/>
      <c r="M584" s="90"/>
      <c r="N584" s="90"/>
      <c r="Q584" s="10"/>
    </row>
    <row r="585" spans="3:17" ht="12.75">
      <c r="C585" s="92"/>
      <c r="D585" s="92"/>
      <c r="E585" s="92"/>
      <c r="F585" s="92"/>
      <c r="G585" s="92"/>
      <c r="H585" s="92"/>
      <c r="I585" s="92"/>
      <c r="J585" s="93"/>
      <c r="K585" s="93"/>
      <c r="L585" s="90"/>
      <c r="M585" s="90"/>
      <c r="N585" s="90"/>
      <c r="Q585" s="10"/>
    </row>
    <row r="586" spans="3:17" ht="12.75">
      <c r="C586" s="92"/>
      <c r="D586" s="92"/>
      <c r="E586" s="92"/>
      <c r="F586" s="92"/>
      <c r="G586" s="92"/>
      <c r="H586" s="92"/>
      <c r="I586" s="92"/>
      <c r="J586" s="93"/>
      <c r="K586" s="93"/>
      <c r="L586" s="90"/>
      <c r="M586" s="90"/>
      <c r="N586" s="90"/>
      <c r="Q586" s="10"/>
    </row>
    <row r="587" spans="3:17" ht="12.75">
      <c r="C587" s="92"/>
      <c r="D587" s="92"/>
      <c r="E587" s="92"/>
      <c r="F587" s="92"/>
      <c r="G587" s="92"/>
      <c r="H587" s="92"/>
      <c r="I587" s="92"/>
      <c r="J587" s="93"/>
      <c r="K587" s="93"/>
      <c r="L587" s="90"/>
      <c r="M587" s="90"/>
      <c r="N587" s="90"/>
      <c r="Q587" s="10"/>
    </row>
    <row r="588" spans="3:17" ht="12.75">
      <c r="C588" s="92"/>
      <c r="D588" s="92"/>
      <c r="E588" s="92"/>
      <c r="F588" s="92"/>
      <c r="G588" s="92"/>
      <c r="H588" s="92"/>
      <c r="I588" s="92"/>
      <c r="J588" s="93"/>
      <c r="K588" s="93"/>
      <c r="L588" s="90"/>
      <c r="M588" s="90"/>
      <c r="N588" s="90"/>
      <c r="Q588" s="10"/>
    </row>
    <row r="589" spans="3:17" ht="12.75">
      <c r="C589" s="92"/>
      <c r="D589" s="92"/>
      <c r="E589" s="92"/>
      <c r="F589" s="92"/>
      <c r="G589" s="92"/>
      <c r="H589" s="92"/>
      <c r="I589" s="92"/>
      <c r="J589" s="93"/>
      <c r="K589" s="93"/>
      <c r="L589" s="90"/>
      <c r="M589" s="90"/>
      <c r="N589" s="90"/>
      <c r="Q589" s="10"/>
    </row>
    <row r="590" spans="3:17" ht="12.75">
      <c r="C590" s="92"/>
      <c r="D590" s="92"/>
      <c r="E590" s="92"/>
      <c r="F590" s="92"/>
      <c r="G590" s="92"/>
      <c r="H590" s="92"/>
      <c r="I590" s="92"/>
      <c r="J590" s="93"/>
      <c r="K590" s="93"/>
      <c r="L590" s="90"/>
      <c r="M590" s="90"/>
      <c r="N590" s="90"/>
      <c r="Q590" s="10"/>
    </row>
    <row r="591" spans="3:17" ht="12.75">
      <c r="C591" s="92"/>
      <c r="D591" s="92"/>
      <c r="E591" s="92"/>
      <c r="F591" s="92"/>
      <c r="G591" s="92"/>
      <c r="H591" s="92"/>
      <c r="I591" s="92"/>
      <c r="J591" s="93"/>
      <c r="K591" s="93"/>
      <c r="L591" s="90"/>
      <c r="M591" s="90"/>
      <c r="N591" s="90"/>
      <c r="Q591" s="10"/>
    </row>
    <row r="592" spans="3:17" ht="12.75">
      <c r="C592" s="92"/>
      <c r="D592" s="92"/>
      <c r="E592" s="92"/>
      <c r="F592" s="92"/>
      <c r="G592" s="92"/>
      <c r="H592" s="92"/>
      <c r="I592" s="92"/>
      <c r="J592" s="93"/>
      <c r="K592" s="93"/>
      <c r="L592" s="90"/>
      <c r="M592" s="90"/>
      <c r="N592" s="90"/>
      <c r="Q592" s="10"/>
    </row>
    <row r="593" spans="3:17" ht="12.75">
      <c r="C593" s="92"/>
      <c r="D593" s="92"/>
      <c r="E593" s="92"/>
      <c r="F593" s="92"/>
      <c r="G593" s="92"/>
      <c r="H593" s="92"/>
      <c r="I593" s="92"/>
      <c r="J593" s="93"/>
      <c r="K593" s="93"/>
      <c r="L593" s="90"/>
      <c r="M593" s="90"/>
      <c r="N593" s="90"/>
      <c r="Q593" s="10"/>
    </row>
    <row r="594" spans="3:17" ht="12.75">
      <c r="C594" s="92"/>
      <c r="D594" s="92"/>
      <c r="E594" s="92"/>
      <c r="F594" s="92"/>
      <c r="G594" s="92"/>
      <c r="H594" s="92"/>
      <c r="I594" s="92"/>
      <c r="J594" s="93"/>
      <c r="K594" s="93"/>
      <c r="L594" s="90"/>
      <c r="M594" s="90"/>
      <c r="N594" s="90"/>
      <c r="Q594" s="10"/>
    </row>
    <row r="595" spans="3:17" ht="12.75">
      <c r="C595" s="92"/>
      <c r="D595" s="92"/>
      <c r="E595" s="92"/>
      <c r="F595" s="92"/>
      <c r="G595" s="92"/>
      <c r="H595" s="92"/>
      <c r="I595" s="92"/>
      <c r="J595" s="93"/>
      <c r="K595" s="93"/>
      <c r="L595" s="90"/>
      <c r="M595" s="90"/>
      <c r="N595" s="90"/>
      <c r="Q595" s="10"/>
    </row>
    <row r="596" spans="3:17" ht="12.75">
      <c r="C596" s="92"/>
      <c r="D596" s="92"/>
      <c r="E596" s="92"/>
      <c r="F596" s="92"/>
      <c r="G596" s="92"/>
      <c r="H596" s="92"/>
      <c r="I596" s="92"/>
      <c r="J596" s="93"/>
      <c r="K596" s="93"/>
      <c r="L596" s="90"/>
      <c r="M596" s="90"/>
      <c r="N596" s="90"/>
      <c r="Q596" s="10"/>
    </row>
    <row r="597" spans="3:17" ht="12.75">
      <c r="C597" s="92"/>
      <c r="D597" s="92"/>
      <c r="E597" s="92"/>
      <c r="F597" s="92"/>
      <c r="G597" s="92"/>
      <c r="H597" s="92"/>
      <c r="I597" s="92"/>
      <c r="J597" s="93"/>
      <c r="K597" s="93"/>
      <c r="L597" s="90"/>
      <c r="M597" s="90"/>
      <c r="N597" s="90"/>
      <c r="Q597" s="10"/>
    </row>
    <row r="598" spans="3:17" ht="12.75">
      <c r="C598" s="92"/>
      <c r="D598" s="92"/>
      <c r="E598" s="92"/>
      <c r="F598" s="92"/>
      <c r="G598" s="92"/>
      <c r="H598" s="92"/>
      <c r="I598" s="92"/>
      <c r="J598" s="93"/>
      <c r="K598" s="93"/>
      <c r="L598" s="90"/>
      <c r="M598" s="90"/>
      <c r="N598" s="90"/>
      <c r="Q598" s="10"/>
    </row>
    <row r="599" spans="3:17" ht="12.75">
      <c r="C599" s="92"/>
      <c r="D599" s="92"/>
      <c r="E599" s="92"/>
      <c r="F599" s="92"/>
      <c r="G599" s="92"/>
      <c r="H599" s="92"/>
      <c r="I599" s="92"/>
      <c r="J599" s="93"/>
      <c r="K599" s="93"/>
      <c r="L599" s="90"/>
      <c r="M599" s="90"/>
      <c r="N599" s="90"/>
      <c r="Q599" s="10"/>
    </row>
    <row r="600" spans="3:17" ht="12.75">
      <c r="C600" s="92"/>
      <c r="D600" s="92"/>
      <c r="E600" s="92"/>
      <c r="F600" s="92"/>
      <c r="G600" s="92"/>
      <c r="H600" s="92"/>
      <c r="I600" s="92"/>
      <c r="J600" s="93"/>
      <c r="K600" s="93"/>
      <c r="L600" s="90"/>
      <c r="M600" s="90"/>
      <c r="N600" s="90"/>
      <c r="Q600" s="10"/>
    </row>
    <row r="601" spans="3:17" ht="12.75">
      <c r="C601" s="92"/>
      <c r="D601" s="92"/>
      <c r="E601" s="92"/>
      <c r="F601" s="92"/>
      <c r="G601" s="92"/>
      <c r="H601" s="92"/>
      <c r="I601" s="92"/>
      <c r="J601" s="93"/>
      <c r="K601" s="93"/>
      <c r="L601" s="90"/>
      <c r="M601" s="90"/>
      <c r="N601" s="90"/>
      <c r="Q601" s="10"/>
    </row>
    <row r="602" spans="3:17" ht="12.75">
      <c r="C602" s="92"/>
      <c r="D602" s="92"/>
      <c r="E602" s="92"/>
      <c r="F602" s="92"/>
      <c r="G602" s="92"/>
      <c r="H602" s="92"/>
      <c r="I602" s="92"/>
      <c r="J602" s="93"/>
      <c r="K602" s="93"/>
      <c r="L602" s="90"/>
      <c r="M602" s="90"/>
      <c r="N602" s="90"/>
      <c r="Q602" s="10"/>
    </row>
    <row r="603" spans="3:17" ht="12.75">
      <c r="C603" s="92"/>
      <c r="D603" s="92"/>
      <c r="E603" s="92"/>
      <c r="F603" s="92"/>
      <c r="G603" s="92"/>
      <c r="H603" s="92"/>
      <c r="I603" s="92"/>
      <c r="J603" s="93"/>
      <c r="K603" s="93"/>
      <c r="L603" s="90"/>
      <c r="M603" s="90"/>
      <c r="N603" s="90"/>
      <c r="Q603" s="10"/>
    </row>
    <row r="604" spans="3:17" ht="12.75">
      <c r="C604" s="92"/>
      <c r="D604" s="92"/>
      <c r="E604" s="92"/>
      <c r="F604" s="92"/>
      <c r="G604" s="92"/>
      <c r="H604" s="92"/>
      <c r="I604" s="92"/>
      <c r="J604" s="93"/>
      <c r="K604" s="93"/>
      <c r="L604" s="90"/>
      <c r="M604" s="90"/>
      <c r="N604" s="90"/>
      <c r="Q604" s="10"/>
    </row>
    <row r="605" spans="3:17" ht="12.75">
      <c r="C605" s="92"/>
      <c r="D605" s="92"/>
      <c r="E605" s="92"/>
      <c r="F605" s="92"/>
      <c r="G605" s="92"/>
      <c r="H605" s="92"/>
      <c r="I605" s="92"/>
      <c r="J605" s="93"/>
      <c r="K605" s="93"/>
      <c r="L605" s="90"/>
      <c r="M605" s="90"/>
      <c r="N605" s="90"/>
      <c r="Q605" s="10"/>
    </row>
    <row r="606" spans="3:17" ht="12.75">
      <c r="C606" s="92"/>
      <c r="D606" s="92"/>
      <c r="E606" s="92"/>
      <c r="F606" s="92"/>
      <c r="G606" s="92"/>
      <c r="H606" s="92"/>
      <c r="I606" s="92"/>
      <c r="J606" s="93"/>
      <c r="K606" s="93"/>
      <c r="L606" s="90"/>
      <c r="M606" s="90"/>
      <c r="N606" s="90"/>
      <c r="Q606" s="10"/>
    </row>
    <row r="607" spans="3:17" ht="12.75">
      <c r="C607" s="92"/>
      <c r="D607" s="92"/>
      <c r="E607" s="92"/>
      <c r="F607" s="92"/>
      <c r="G607" s="92"/>
      <c r="H607" s="92"/>
      <c r="I607" s="92"/>
      <c r="J607" s="93"/>
      <c r="K607" s="93"/>
      <c r="L607" s="90"/>
      <c r="M607" s="90"/>
      <c r="N607" s="90"/>
      <c r="Q607" s="10"/>
    </row>
    <row r="608" spans="3:17" ht="12.75">
      <c r="C608" s="92"/>
      <c r="D608" s="92"/>
      <c r="E608" s="92"/>
      <c r="F608" s="92"/>
      <c r="G608" s="92"/>
      <c r="H608" s="92"/>
      <c r="I608" s="92"/>
      <c r="J608" s="93"/>
      <c r="K608" s="93"/>
      <c r="L608" s="90"/>
      <c r="M608" s="90"/>
      <c r="N608" s="90"/>
      <c r="Q608" s="10"/>
    </row>
    <row r="609" spans="3:17" ht="12.75">
      <c r="C609" s="92"/>
      <c r="D609" s="92"/>
      <c r="E609" s="92"/>
      <c r="F609" s="92"/>
      <c r="G609" s="92"/>
      <c r="H609" s="92"/>
      <c r="I609" s="92"/>
      <c r="J609" s="93"/>
      <c r="K609" s="93"/>
      <c r="L609" s="90"/>
      <c r="M609" s="90"/>
      <c r="N609" s="90"/>
      <c r="Q609" s="10"/>
    </row>
    <row r="610" spans="3:17" ht="12.75">
      <c r="C610" s="92"/>
      <c r="D610" s="92"/>
      <c r="E610" s="92"/>
      <c r="F610" s="92"/>
      <c r="G610" s="92"/>
      <c r="H610" s="92"/>
      <c r="I610" s="92"/>
      <c r="J610" s="93"/>
      <c r="K610" s="93"/>
      <c r="L610" s="90"/>
      <c r="M610" s="90"/>
      <c r="N610" s="90"/>
      <c r="Q610" s="10"/>
    </row>
    <row r="611" spans="3:17" ht="12.75">
      <c r="C611" s="92"/>
      <c r="D611" s="92"/>
      <c r="E611" s="92"/>
      <c r="F611" s="92"/>
      <c r="G611" s="92"/>
      <c r="H611" s="92"/>
      <c r="I611" s="92"/>
      <c r="J611" s="93"/>
      <c r="K611" s="93"/>
      <c r="L611" s="90"/>
      <c r="M611" s="90"/>
      <c r="N611" s="90"/>
      <c r="Q611" s="10"/>
    </row>
    <row r="612" spans="3:17" ht="12.75">
      <c r="C612" s="92"/>
      <c r="D612" s="92"/>
      <c r="E612" s="92"/>
      <c r="F612" s="92"/>
      <c r="G612" s="92"/>
      <c r="H612" s="92"/>
      <c r="I612" s="92"/>
      <c r="J612" s="93"/>
      <c r="K612" s="93"/>
      <c r="L612" s="90"/>
      <c r="M612" s="90"/>
      <c r="N612" s="90"/>
      <c r="Q612" s="10"/>
    </row>
    <row r="613" spans="3:17" ht="12.75">
      <c r="C613" s="92"/>
      <c r="D613" s="92"/>
      <c r="E613" s="92"/>
      <c r="F613" s="92"/>
      <c r="G613" s="92"/>
      <c r="H613" s="92"/>
      <c r="I613" s="92"/>
      <c r="J613" s="93"/>
      <c r="K613" s="93"/>
      <c r="L613" s="90"/>
      <c r="M613" s="90"/>
      <c r="N613" s="90"/>
      <c r="Q613" s="10"/>
    </row>
    <row r="614" spans="3:17" ht="12.75">
      <c r="C614" s="92"/>
      <c r="D614" s="92"/>
      <c r="E614" s="92"/>
      <c r="F614" s="92"/>
      <c r="G614" s="92"/>
      <c r="H614" s="92"/>
      <c r="I614" s="92"/>
      <c r="J614" s="93"/>
      <c r="K614" s="93"/>
      <c r="L614" s="90"/>
      <c r="M614" s="90"/>
      <c r="N614" s="90"/>
      <c r="Q614" s="10"/>
    </row>
    <row r="615" spans="3:17" ht="12.75">
      <c r="C615" s="92"/>
      <c r="D615" s="92"/>
      <c r="E615" s="92"/>
      <c r="F615" s="92"/>
      <c r="G615" s="92"/>
      <c r="H615" s="92"/>
      <c r="I615" s="92"/>
      <c r="J615" s="93"/>
      <c r="K615" s="93"/>
      <c r="L615" s="90"/>
      <c r="M615" s="90"/>
      <c r="N615" s="90"/>
      <c r="Q615" s="10"/>
    </row>
    <row r="616" spans="3:17" ht="12.75">
      <c r="C616" s="92"/>
      <c r="D616" s="92"/>
      <c r="E616" s="92"/>
      <c r="F616" s="92"/>
      <c r="G616" s="92"/>
      <c r="H616" s="92"/>
      <c r="I616" s="92"/>
      <c r="J616" s="93"/>
      <c r="K616" s="93"/>
      <c r="L616" s="90"/>
      <c r="M616" s="90"/>
      <c r="N616" s="90"/>
      <c r="Q616" s="10"/>
    </row>
    <row r="617" spans="3:17" ht="12.75">
      <c r="C617" s="92"/>
      <c r="D617" s="92"/>
      <c r="E617" s="92"/>
      <c r="F617" s="92"/>
      <c r="G617" s="92"/>
      <c r="H617" s="92"/>
      <c r="I617" s="92"/>
      <c r="J617" s="93"/>
      <c r="K617" s="93"/>
      <c r="L617" s="90"/>
      <c r="M617" s="90"/>
      <c r="N617" s="90"/>
      <c r="Q617" s="10"/>
    </row>
    <row r="618" spans="3:17" ht="12.75">
      <c r="C618" s="92"/>
      <c r="D618" s="92"/>
      <c r="E618" s="92"/>
      <c r="F618" s="92"/>
      <c r="G618" s="92"/>
      <c r="H618" s="92"/>
      <c r="I618" s="92"/>
      <c r="J618" s="93"/>
      <c r="K618" s="93"/>
      <c r="L618" s="90"/>
      <c r="M618" s="90"/>
      <c r="N618" s="90"/>
      <c r="Q618" s="10"/>
    </row>
    <row r="619" spans="3:17" ht="12.75">
      <c r="C619" s="92"/>
      <c r="D619" s="92"/>
      <c r="E619" s="92"/>
      <c r="F619" s="92"/>
      <c r="G619" s="92"/>
      <c r="H619" s="92"/>
      <c r="I619" s="92"/>
      <c r="J619" s="93"/>
      <c r="K619" s="93"/>
      <c r="L619" s="90"/>
      <c r="M619" s="90"/>
      <c r="N619" s="90"/>
      <c r="Q619" s="10"/>
    </row>
    <row r="620" spans="3:17" ht="12.75">
      <c r="C620" s="92"/>
      <c r="D620" s="92"/>
      <c r="E620" s="92"/>
      <c r="F620" s="92"/>
      <c r="G620" s="92"/>
      <c r="H620" s="92"/>
      <c r="I620" s="92"/>
      <c r="J620" s="93"/>
      <c r="K620" s="93"/>
      <c r="L620" s="90"/>
      <c r="M620" s="90"/>
      <c r="N620" s="90"/>
      <c r="Q620" s="10"/>
    </row>
    <row r="621" spans="3:17" ht="12.75">
      <c r="C621" s="92"/>
      <c r="D621" s="92"/>
      <c r="E621" s="92"/>
      <c r="F621" s="92"/>
      <c r="G621" s="92"/>
      <c r="H621" s="92"/>
      <c r="I621" s="92"/>
      <c r="J621" s="93"/>
      <c r="K621" s="93"/>
      <c r="L621" s="90"/>
      <c r="M621" s="90"/>
      <c r="N621" s="90"/>
      <c r="Q621" s="10"/>
    </row>
    <row r="622" spans="3:17" ht="12.75">
      <c r="C622" s="92"/>
      <c r="D622" s="92"/>
      <c r="E622" s="92"/>
      <c r="F622" s="92"/>
      <c r="G622" s="92"/>
      <c r="H622" s="92"/>
      <c r="I622" s="92"/>
      <c r="J622" s="93"/>
      <c r="K622" s="93"/>
      <c r="L622" s="90"/>
      <c r="M622" s="90"/>
      <c r="N622" s="90"/>
      <c r="Q622" s="10"/>
    </row>
    <row r="623" spans="3:17" ht="12.75">
      <c r="C623" s="92"/>
      <c r="D623" s="92"/>
      <c r="E623" s="92"/>
      <c r="F623" s="92"/>
      <c r="G623" s="92"/>
      <c r="H623" s="92"/>
      <c r="I623" s="92"/>
      <c r="J623" s="93"/>
      <c r="K623" s="93"/>
      <c r="L623" s="90"/>
      <c r="M623" s="90"/>
      <c r="N623" s="90"/>
      <c r="Q623" s="10"/>
    </row>
    <row r="624" spans="3:17" ht="12.75">
      <c r="C624" s="92"/>
      <c r="D624" s="92"/>
      <c r="E624" s="92"/>
      <c r="F624" s="92"/>
      <c r="G624" s="92"/>
      <c r="H624" s="92"/>
      <c r="I624" s="92"/>
      <c r="J624" s="93"/>
      <c r="K624" s="93"/>
      <c r="L624" s="90"/>
      <c r="M624" s="90"/>
      <c r="N624" s="90"/>
      <c r="Q624" s="10"/>
    </row>
    <row r="625" spans="3:17" ht="12.75">
      <c r="C625" s="92"/>
      <c r="D625" s="92"/>
      <c r="E625" s="92"/>
      <c r="F625" s="92"/>
      <c r="G625" s="92"/>
      <c r="H625" s="92"/>
      <c r="I625" s="92"/>
      <c r="J625" s="93"/>
      <c r="K625" s="93"/>
      <c r="L625" s="90"/>
      <c r="M625" s="90"/>
      <c r="N625" s="90"/>
      <c r="Q625" s="10"/>
    </row>
    <row r="626" spans="3:17" ht="12.75">
      <c r="C626" s="92"/>
      <c r="D626" s="92"/>
      <c r="E626" s="92"/>
      <c r="F626" s="92"/>
      <c r="G626" s="92"/>
      <c r="H626" s="92"/>
      <c r="I626" s="92"/>
      <c r="J626" s="93"/>
      <c r="K626" s="93"/>
      <c r="L626" s="90"/>
      <c r="M626" s="90"/>
      <c r="N626" s="90"/>
      <c r="Q626" s="10"/>
    </row>
    <row r="627" spans="3:17" ht="12.75">
      <c r="C627" s="92"/>
      <c r="D627" s="92"/>
      <c r="E627" s="92"/>
      <c r="F627" s="92"/>
      <c r="G627" s="92"/>
      <c r="H627" s="92"/>
      <c r="I627" s="92"/>
      <c r="J627" s="93"/>
      <c r="K627" s="93"/>
      <c r="L627" s="90"/>
      <c r="M627" s="90"/>
      <c r="N627" s="90"/>
      <c r="Q627" s="10"/>
    </row>
    <row r="628" spans="3:17" ht="12.75">
      <c r="C628" s="92"/>
      <c r="D628" s="92"/>
      <c r="E628" s="92"/>
      <c r="F628" s="92"/>
      <c r="G628" s="92"/>
      <c r="H628" s="92"/>
      <c r="I628" s="92"/>
      <c r="J628" s="93"/>
      <c r="K628" s="93"/>
      <c r="L628" s="90"/>
      <c r="M628" s="90"/>
      <c r="N628" s="90"/>
      <c r="Q628" s="10"/>
    </row>
    <row r="629" spans="3:17" ht="12.75">
      <c r="C629" s="92"/>
      <c r="D629" s="92"/>
      <c r="E629" s="92"/>
      <c r="F629" s="92"/>
      <c r="G629" s="92"/>
      <c r="H629" s="92"/>
      <c r="I629" s="92"/>
      <c r="J629" s="93"/>
      <c r="K629" s="93"/>
      <c r="L629" s="90"/>
      <c r="M629" s="90"/>
      <c r="N629" s="90"/>
      <c r="Q629" s="10"/>
    </row>
    <row r="630" spans="3:17" ht="12.75">
      <c r="C630" s="92"/>
      <c r="D630" s="92"/>
      <c r="E630" s="92"/>
      <c r="F630" s="92"/>
      <c r="G630" s="92"/>
      <c r="H630" s="92"/>
      <c r="I630" s="92"/>
      <c r="J630" s="93"/>
      <c r="K630" s="93"/>
      <c r="L630" s="90"/>
      <c r="M630" s="90"/>
      <c r="N630" s="90"/>
      <c r="Q630" s="10"/>
    </row>
    <row r="631" spans="3:17" ht="12.75">
      <c r="C631" s="92"/>
      <c r="D631" s="92"/>
      <c r="E631" s="92"/>
      <c r="F631" s="92"/>
      <c r="G631" s="92"/>
      <c r="H631" s="92"/>
      <c r="I631" s="92"/>
      <c r="J631" s="93"/>
      <c r="K631" s="93"/>
      <c r="L631" s="90"/>
      <c r="M631" s="90"/>
      <c r="N631" s="90"/>
      <c r="Q631" s="10"/>
    </row>
    <row r="632" spans="3:17" ht="12.75">
      <c r="C632" s="92"/>
      <c r="D632" s="92"/>
      <c r="E632" s="92"/>
      <c r="F632" s="92"/>
      <c r="G632" s="92"/>
      <c r="H632" s="92"/>
      <c r="I632" s="92"/>
      <c r="J632" s="93"/>
      <c r="K632" s="93"/>
      <c r="L632" s="90"/>
      <c r="M632" s="90"/>
      <c r="N632" s="90"/>
      <c r="Q632" s="10"/>
    </row>
    <row r="633" spans="3:17" ht="12.75">
      <c r="C633" s="92"/>
      <c r="D633" s="92"/>
      <c r="E633" s="92"/>
      <c r="F633" s="92"/>
      <c r="G633" s="92"/>
      <c r="H633" s="92"/>
      <c r="I633" s="92"/>
      <c r="J633" s="93"/>
      <c r="K633" s="93"/>
      <c r="L633" s="90"/>
      <c r="M633" s="90"/>
      <c r="N633" s="90"/>
      <c r="Q633" s="10"/>
    </row>
    <row r="634" spans="3:17" ht="12.75">
      <c r="C634" s="92"/>
      <c r="D634" s="92"/>
      <c r="E634" s="92"/>
      <c r="F634" s="92"/>
      <c r="G634" s="92"/>
      <c r="H634" s="92"/>
      <c r="I634" s="92"/>
      <c r="J634" s="93"/>
      <c r="K634" s="93"/>
      <c r="L634" s="90"/>
      <c r="M634" s="90"/>
      <c r="N634" s="90"/>
      <c r="Q634" s="10"/>
    </row>
    <row r="635" spans="3:17" ht="12.75">
      <c r="C635" s="92"/>
      <c r="D635" s="92"/>
      <c r="E635" s="92"/>
      <c r="F635" s="92"/>
      <c r="G635" s="92"/>
      <c r="H635" s="92"/>
      <c r="I635" s="92"/>
      <c r="J635" s="93"/>
      <c r="K635" s="93"/>
      <c r="L635" s="90"/>
      <c r="M635" s="90"/>
      <c r="N635" s="90"/>
      <c r="Q635" s="10"/>
    </row>
    <row r="636" spans="3:17" ht="12.75">
      <c r="C636" s="92"/>
      <c r="D636" s="92"/>
      <c r="E636" s="92"/>
      <c r="F636" s="92"/>
      <c r="G636" s="92"/>
      <c r="H636" s="92"/>
      <c r="I636" s="92"/>
      <c r="J636" s="93"/>
      <c r="K636" s="93"/>
      <c r="L636" s="90"/>
      <c r="M636" s="90"/>
      <c r="N636" s="90"/>
      <c r="Q636" s="10"/>
    </row>
    <row r="637" spans="3:17" ht="12.75">
      <c r="C637" s="92"/>
      <c r="D637" s="92"/>
      <c r="E637" s="92"/>
      <c r="F637" s="92"/>
      <c r="G637" s="92"/>
      <c r="H637" s="92"/>
      <c r="I637" s="92"/>
      <c r="J637" s="93"/>
      <c r="K637" s="93"/>
      <c r="L637" s="90"/>
      <c r="M637" s="90"/>
      <c r="N637" s="90"/>
      <c r="Q637" s="10"/>
    </row>
    <row r="638" spans="3:17" ht="12.75">
      <c r="C638" s="92"/>
      <c r="D638" s="92"/>
      <c r="E638" s="92"/>
      <c r="F638" s="92"/>
      <c r="G638" s="92"/>
      <c r="H638" s="92"/>
      <c r="I638" s="92"/>
      <c r="J638" s="93"/>
      <c r="K638" s="93"/>
      <c r="L638" s="90"/>
      <c r="M638" s="90"/>
      <c r="N638" s="90"/>
      <c r="Q638" s="10"/>
    </row>
    <row r="639" spans="3:17" ht="12.75">
      <c r="C639" s="92"/>
      <c r="D639" s="92"/>
      <c r="E639" s="92"/>
      <c r="F639" s="92"/>
      <c r="G639" s="92"/>
      <c r="H639" s="92"/>
      <c r="I639" s="92"/>
      <c r="J639" s="93"/>
      <c r="K639" s="93"/>
      <c r="L639" s="90"/>
      <c r="M639" s="90"/>
      <c r="N639" s="90"/>
      <c r="Q639" s="10"/>
    </row>
    <row r="640" spans="3:17" ht="12.75">
      <c r="C640" s="92"/>
      <c r="D640" s="92"/>
      <c r="E640" s="92"/>
      <c r="F640" s="92"/>
      <c r="G640" s="92"/>
      <c r="H640" s="92"/>
      <c r="I640" s="92"/>
      <c r="J640" s="93"/>
      <c r="K640" s="93"/>
      <c r="L640" s="90"/>
      <c r="M640" s="90"/>
      <c r="N640" s="90"/>
      <c r="Q640" s="10"/>
    </row>
    <row r="641" spans="3:17" ht="12.75">
      <c r="C641" s="92"/>
      <c r="D641" s="92"/>
      <c r="E641" s="92"/>
      <c r="F641" s="92"/>
      <c r="G641" s="92"/>
      <c r="H641" s="92"/>
      <c r="I641" s="92"/>
      <c r="J641" s="93"/>
      <c r="K641" s="93"/>
      <c r="L641" s="90"/>
      <c r="M641" s="90"/>
      <c r="N641" s="90"/>
      <c r="Q641" s="10"/>
    </row>
    <row r="642" spans="3:17" ht="12.75">
      <c r="C642" s="92"/>
      <c r="D642" s="92"/>
      <c r="E642" s="92"/>
      <c r="F642" s="92"/>
      <c r="G642" s="92"/>
      <c r="H642" s="92"/>
      <c r="I642" s="92"/>
      <c r="J642" s="93"/>
      <c r="K642" s="93"/>
      <c r="L642" s="90"/>
      <c r="M642" s="90"/>
      <c r="N642" s="90"/>
      <c r="Q642" s="10"/>
    </row>
    <row r="643" spans="3:17" ht="12.75">
      <c r="C643" s="92"/>
      <c r="D643" s="92"/>
      <c r="E643" s="92"/>
      <c r="F643" s="92"/>
      <c r="G643" s="92"/>
      <c r="H643" s="92"/>
      <c r="I643" s="92"/>
      <c r="J643" s="93"/>
      <c r="K643" s="93"/>
      <c r="L643" s="90"/>
      <c r="M643" s="90"/>
      <c r="N643" s="90"/>
      <c r="Q643" s="10"/>
    </row>
    <row r="644" spans="3:17" ht="12.75">
      <c r="C644" s="92"/>
      <c r="D644" s="92"/>
      <c r="E644" s="92"/>
      <c r="F644" s="92"/>
      <c r="G644" s="92"/>
      <c r="H644" s="92"/>
      <c r="I644" s="92"/>
      <c r="J644" s="93"/>
      <c r="K644" s="93"/>
      <c r="L644" s="90"/>
      <c r="M644" s="90"/>
      <c r="N644" s="90"/>
      <c r="Q644" s="10"/>
    </row>
    <row r="645" spans="3:17" ht="12.75">
      <c r="C645" s="92"/>
      <c r="D645" s="92"/>
      <c r="E645" s="92"/>
      <c r="F645" s="92"/>
      <c r="G645" s="92"/>
      <c r="H645" s="92"/>
      <c r="I645" s="92"/>
      <c r="J645" s="93"/>
      <c r="K645" s="93"/>
      <c r="L645" s="90"/>
      <c r="M645" s="90"/>
      <c r="N645" s="90"/>
      <c r="Q645" s="10"/>
    </row>
    <row r="646" spans="3:17" ht="12.75">
      <c r="C646" s="92"/>
      <c r="D646" s="92"/>
      <c r="E646" s="92"/>
      <c r="F646" s="92"/>
      <c r="G646" s="92"/>
      <c r="H646" s="92"/>
      <c r="I646" s="92"/>
      <c r="J646" s="93"/>
      <c r="K646" s="93"/>
      <c r="L646" s="90"/>
      <c r="M646" s="90"/>
      <c r="N646" s="90"/>
      <c r="Q646" s="10"/>
    </row>
    <row r="647" spans="3:17" ht="12.75">
      <c r="C647" s="92"/>
      <c r="D647" s="92"/>
      <c r="E647" s="92"/>
      <c r="F647" s="92"/>
      <c r="G647" s="92"/>
      <c r="H647" s="92"/>
      <c r="I647" s="92"/>
      <c r="J647" s="93"/>
      <c r="K647" s="93"/>
      <c r="L647" s="90"/>
      <c r="M647" s="90"/>
      <c r="N647" s="90"/>
      <c r="Q647" s="10"/>
    </row>
    <row r="648" spans="3:17" ht="12.75">
      <c r="C648" s="92"/>
      <c r="D648" s="92"/>
      <c r="E648" s="92"/>
      <c r="F648" s="92"/>
      <c r="G648" s="92"/>
      <c r="H648" s="92"/>
      <c r="I648" s="92"/>
      <c r="J648" s="93"/>
      <c r="K648" s="93"/>
      <c r="L648" s="90"/>
      <c r="M648" s="90"/>
      <c r="N648" s="90"/>
      <c r="Q648" s="10"/>
    </row>
    <row r="649" spans="3:17" ht="12.75">
      <c r="C649" s="92"/>
      <c r="D649" s="92"/>
      <c r="E649" s="92"/>
      <c r="F649" s="92"/>
      <c r="G649" s="92"/>
      <c r="H649" s="92"/>
      <c r="I649" s="92"/>
      <c r="J649" s="93"/>
      <c r="K649" s="93"/>
      <c r="L649" s="90"/>
      <c r="M649" s="90"/>
      <c r="N649" s="90"/>
      <c r="Q649" s="10"/>
    </row>
    <row r="650" spans="3:17" ht="12.75">
      <c r="C650" s="92"/>
      <c r="D650" s="92"/>
      <c r="E650" s="92"/>
      <c r="F650" s="92"/>
      <c r="G650" s="92"/>
      <c r="H650" s="92"/>
      <c r="I650" s="92"/>
      <c r="J650" s="93"/>
      <c r="K650" s="93"/>
      <c r="L650" s="90"/>
      <c r="M650" s="90"/>
      <c r="N650" s="90"/>
      <c r="Q650" s="10"/>
    </row>
    <row r="651" spans="3:17" ht="12.75">
      <c r="C651" s="92"/>
      <c r="D651" s="92"/>
      <c r="E651" s="92"/>
      <c r="F651" s="92"/>
      <c r="G651" s="92"/>
      <c r="H651" s="92"/>
      <c r="I651" s="92"/>
      <c r="J651" s="93"/>
      <c r="K651" s="93"/>
      <c r="L651" s="90"/>
      <c r="M651" s="90"/>
      <c r="N651" s="90"/>
      <c r="Q651" s="10"/>
    </row>
    <row r="652" spans="3:17" ht="12.75">
      <c r="C652" s="92"/>
      <c r="D652" s="92"/>
      <c r="E652" s="92"/>
      <c r="F652" s="92"/>
      <c r="G652" s="92"/>
      <c r="H652" s="92"/>
      <c r="I652" s="92"/>
      <c r="J652" s="93"/>
      <c r="K652" s="93"/>
      <c r="L652" s="90"/>
      <c r="M652" s="90"/>
      <c r="N652" s="90"/>
      <c r="Q652" s="10"/>
    </row>
    <row r="653" spans="3:17" ht="12.75">
      <c r="C653" s="92"/>
      <c r="D653" s="92"/>
      <c r="E653" s="92"/>
      <c r="F653" s="92"/>
      <c r="G653" s="92"/>
      <c r="H653" s="92"/>
      <c r="I653" s="92"/>
      <c r="J653" s="93"/>
      <c r="K653" s="93"/>
      <c r="L653" s="90"/>
      <c r="M653" s="90"/>
      <c r="N653" s="90"/>
      <c r="Q653" s="10"/>
    </row>
    <row r="654" spans="3:17" ht="12.75">
      <c r="C654" s="92"/>
      <c r="D654" s="92"/>
      <c r="E654" s="92"/>
      <c r="F654" s="92"/>
      <c r="G654" s="92"/>
      <c r="H654" s="92"/>
      <c r="I654" s="92"/>
      <c r="J654" s="93"/>
      <c r="K654" s="93"/>
      <c r="L654" s="90"/>
      <c r="M654" s="90"/>
      <c r="N654" s="90"/>
      <c r="Q654" s="10"/>
    </row>
    <row r="655" spans="3:17" ht="12.75">
      <c r="C655" s="92"/>
      <c r="D655" s="92"/>
      <c r="E655" s="92"/>
      <c r="F655" s="92"/>
      <c r="G655" s="92"/>
      <c r="H655" s="92"/>
      <c r="I655" s="92"/>
      <c r="J655" s="93"/>
      <c r="K655" s="93"/>
      <c r="L655" s="90"/>
      <c r="M655" s="90"/>
      <c r="N655" s="90"/>
      <c r="Q655" s="10"/>
    </row>
    <row r="656" spans="3:17" ht="12.75">
      <c r="C656" s="92"/>
      <c r="D656" s="92"/>
      <c r="E656" s="92"/>
      <c r="F656" s="92"/>
      <c r="G656" s="92"/>
      <c r="H656" s="92"/>
      <c r="I656" s="92"/>
      <c r="J656" s="93"/>
      <c r="K656" s="93"/>
      <c r="L656" s="90"/>
      <c r="M656" s="90"/>
      <c r="N656" s="90"/>
      <c r="Q656" s="10"/>
    </row>
    <row r="657" spans="3:17" ht="12.75">
      <c r="C657" s="92"/>
      <c r="D657" s="92"/>
      <c r="E657" s="92"/>
      <c r="F657" s="92"/>
      <c r="G657" s="92"/>
      <c r="H657" s="92"/>
      <c r="I657" s="92"/>
      <c r="J657" s="93"/>
      <c r="K657" s="93"/>
      <c r="L657" s="90"/>
      <c r="M657" s="90"/>
      <c r="N657" s="90"/>
      <c r="Q657" s="10"/>
    </row>
    <row r="658" spans="3:17" ht="12.75">
      <c r="C658" s="92"/>
      <c r="D658" s="92"/>
      <c r="E658" s="92"/>
      <c r="F658" s="92"/>
      <c r="G658" s="92"/>
      <c r="H658" s="92"/>
      <c r="I658" s="92"/>
      <c r="J658" s="93"/>
      <c r="K658" s="93"/>
      <c r="L658" s="90"/>
      <c r="M658" s="90"/>
      <c r="N658" s="90"/>
      <c r="Q658" s="10"/>
    </row>
    <row r="659" spans="3:17" ht="12.75">
      <c r="C659" s="92"/>
      <c r="D659" s="92"/>
      <c r="E659" s="92"/>
      <c r="F659" s="92"/>
      <c r="G659" s="92"/>
      <c r="H659" s="92"/>
      <c r="I659" s="92"/>
      <c r="J659" s="93"/>
      <c r="K659" s="93"/>
      <c r="L659" s="90"/>
      <c r="M659" s="90"/>
      <c r="N659" s="90"/>
      <c r="Q659" s="10"/>
    </row>
    <row r="660" spans="3:17" ht="12.75">
      <c r="C660" s="92"/>
      <c r="D660" s="92"/>
      <c r="E660" s="92"/>
      <c r="F660" s="92"/>
      <c r="G660" s="92"/>
      <c r="H660" s="92"/>
      <c r="I660" s="92"/>
      <c r="J660" s="93"/>
      <c r="K660" s="93"/>
      <c r="L660" s="90"/>
      <c r="M660" s="90"/>
      <c r="N660" s="90"/>
      <c r="Q660" s="10"/>
    </row>
    <row r="661" spans="3:17" ht="12.75">
      <c r="C661" s="92"/>
      <c r="D661" s="92"/>
      <c r="E661" s="92"/>
      <c r="F661" s="92"/>
      <c r="G661" s="92"/>
      <c r="H661" s="92"/>
      <c r="I661" s="92"/>
      <c r="J661" s="93"/>
      <c r="K661" s="93"/>
      <c r="L661" s="90"/>
      <c r="M661" s="90"/>
      <c r="N661" s="90"/>
      <c r="Q661" s="10"/>
    </row>
    <row r="662" spans="3:17" ht="12.75">
      <c r="C662" s="92"/>
      <c r="D662" s="92"/>
      <c r="E662" s="92"/>
      <c r="F662" s="92"/>
      <c r="G662" s="92"/>
      <c r="H662" s="92"/>
      <c r="I662" s="92"/>
      <c r="J662" s="93"/>
      <c r="K662" s="93"/>
      <c r="L662" s="90"/>
      <c r="M662" s="90"/>
      <c r="N662" s="90"/>
      <c r="Q662" s="10"/>
    </row>
    <row r="663" spans="3:17" ht="12.75">
      <c r="C663" s="92"/>
      <c r="D663" s="92"/>
      <c r="E663" s="92"/>
      <c r="F663" s="92"/>
      <c r="G663" s="92"/>
      <c r="H663" s="92"/>
      <c r="I663" s="92"/>
      <c r="J663" s="93"/>
      <c r="K663" s="93"/>
      <c r="L663" s="90"/>
      <c r="M663" s="90"/>
      <c r="N663" s="90"/>
      <c r="Q663" s="10"/>
    </row>
    <row r="664" spans="3:17" ht="12.75">
      <c r="C664" s="92"/>
      <c r="D664" s="92"/>
      <c r="E664" s="92"/>
      <c r="F664" s="92"/>
      <c r="G664" s="92"/>
      <c r="H664" s="92"/>
      <c r="I664" s="92"/>
      <c r="J664" s="93"/>
      <c r="K664" s="93"/>
      <c r="L664" s="90"/>
      <c r="M664" s="90"/>
      <c r="N664" s="90"/>
      <c r="Q664" s="10"/>
    </row>
    <row r="665" spans="3:17" ht="12.75">
      <c r="C665" s="92"/>
      <c r="D665" s="92"/>
      <c r="E665" s="92"/>
      <c r="F665" s="92"/>
      <c r="G665" s="92"/>
      <c r="H665" s="92"/>
      <c r="I665" s="92"/>
      <c r="J665" s="93"/>
      <c r="K665" s="93"/>
      <c r="L665" s="90"/>
      <c r="M665" s="90"/>
      <c r="N665" s="90"/>
      <c r="Q665" s="10"/>
    </row>
    <row r="666" spans="3:17" ht="12.75">
      <c r="C666" s="92"/>
      <c r="D666" s="92"/>
      <c r="E666" s="92"/>
      <c r="F666" s="92"/>
      <c r="G666" s="92"/>
      <c r="H666" s="92"/>
      <c r="I666" s="92"/>
      <c r="J666" s="93"/>
      <c r="K666" s="93"/>
      <c r="L666" s="90"/>
      <c r="M666" s="90"/>
      <c r="N666" s="90"/>
      <c r="Q666" s="10"/>
    </row>
    <row r="667" spans="3:17" ht="12.75">
      <c r="C667" s="92"/>
      <c r="D667" s="92"/>
      <c r="E667" s="92"/>
      <c r="F667" s="92"/>
      <c r="G667" s="92"/>
      <c r="H667" s="92"/>
      <c r="I667" s="92"/>
      <c r="J667" s="93"/>
      <c r="K667" s="93"/>
      <c r="L667" s="90"/>
      <c r="M667" s="90"/>
      <c r="N667" s="90"/>
      <c r="Q667" s="10"/>
    </row>
    <row r="668" spans="3:17" ht="12.75">
      <c r="C668" s="92"/>
      <c r="D668" s="92"/>
      <c r="E668" s="92"/>
      <c r="F668" s="92"/>
      <c r="G668" s="92"/>
      <c r="H668" s="92"/>
      <c r="I668" s="92"/>
      <c r="J668" s="93"/>
      <c r="K668" s="93"/>
      <c r="L668" s="90"/>
      <c r="M668" s="90"/>
      <c r="N668" s="90"/>
      <c r="Q668" s="10"/>
    </row>
    <row r="669" spans="3:17" ht="12.75">
      <c r="C669" s="92"/>
      <c r="D669" s="92"/>
      <c r="E669" s="92"/>
      <c r="F669" s="92"/>
      <c r="G669" s="92"/>
      <c r="H669" s="92"/>
      <c r="I669" s="92"/>
      <c r="J669" s="93"/>
      <c r="K669" s="93"/>
      <c r="L669" s="90"/>
      <c r="M669" s="90"/>
      <c r="N669" s="90"/>
      <c r="Q669" s="10"/>
    </row>
    <row r="670" spans="3:17" ht="12.75">
      <c r="C670" s="92"/>
      <c r="D670" s="92"/>
      <c r="E670" s="92"/>
      <c r="F670" s="92"/>
      <c r="G670" s="92"/>
      <c r="H670" s="92"/>
      <c r="I670" s="92"/>
      <c r="J670" s="93"/>
      <c r="K670" s="93"/>
      <c r="L670" s="90"/>
      <c r="M670" s="90"/>
      <c r="N670" s="90"/>
      <c r="Q670" s="10"/>
    </row>
    <row r="671" spans="3:17" ht="12.75">
      <c r="C671" s="92"/>
      <c r="D671" s="92"/>
      <c r="E671" s="92"/>
      <c r="F671" s="92"/>
      <c r="G671" s="92"/>
      <c r="H671" s="92"/>
      <c r="I671" s="92"/>
      <c r="J671" s="93"/>
      <c r="K671" s="93"/>
      <c r="L671" s="90"/>
      <c r="M671" s="90"/>
      <c r="N671" s="90"/>
      <c r="Q671" s="10"/>
    </row>
    <row r="672" spans="3:17" ht="12.75">
      <c r="C672" s="92"/>
      <c r="D672" s="92"/>
      <c r="E672" s="92"/>
      <c r="F672" s="92"/>
      <c r="G672" s="92"/>
      <c r="H672" s="92"/>
      <c r="I672" s="92"/>
      <c r="J672" s="93"/>
      <c r="K672" s="93"/>
      <c r="L672" s="90"/>
      <c r="M672" s="90"/>
      <c r="N672" s="90"/>
      <c r="Q672" s="10"/>
    </row>
    <row r="673" spans="3:17" ht="12.75">
      <c r="C673" s="92"/>
      <c r="D673" s="92"/>
      <c r="E673" s="92"/>
      <c r="F673" s="92"/>
      <c r="G673" s="92"/>
      <c r="H673" s="92"/>
      <c r="I673" s="92"/>
      <c r="J673" s="93"/>
      <c r="K673" s="93"/>
      <c r="L673" s="90"/>
      <c r="M673" s="90"/>
      <c r="N673" s="90"/>
      <c r="Q673" s="10"/>
    </row>
    <row r="674" spans="3:17" ht="12.75">
      <c r="C674" s="92"/>
      <c r="D674" s="92"/>
      <c r="E674" s="92"/>
      <c r="F674" s="92"/>
      <c r="G674" s="92"/>
      <c r="H674" s="92"/>
      <c r="I674" s="92"/>
      <c r="J674" s="93"/>
      <c r="K674" s="93"/>
      <c r="L674" s="90"/>
      <c r="M674" s="90"/>
      <c r="N674" s="90"/>
      <c r="Q674" s="10"/>
    </row>
    <row r="675" spans="3:17" ht="12.75">
      <c r="C675" s="92"/>
      <c r="D675" s="92"/>
      <c r="E675" s="92"/>
      <c r="F675" s="92"/>
      <c r="G675" s="92"/>
      <c r="H675" s="92"/>
      <c r="I675" s="92"/>
      <c r="J675" s="93"/>
      <c r="K675" s="93"/>
      <c r="L675" s="90"/>
      <c r="M675" s="90"/>
      <c r="N675" s="90"/>
      <c r="Q675" s="10"/>
    </row>
    <row r="676" spans="3:17" ht="12.75">
      <c r="C676" s="92"/>
      <c r="D676" s="92"/>
      <c r="E676" s="92"/>
      <c r="F676" s="92"/>
      <c r="G676" s="92"/>
      <c r="H676" s="92"/>
      <c r="I676" s="92"/>
      <c r="J676" s="93"/>
      <c r="K676" s="93"/>
      <c r="L676" s="90"/>
      <c r="M676" s="90"/>
      <c r="N676" s="90"/>
      <c r="Q676" s="10"/>
    </row>
    <row r="677" spans="3:17" ht="12.75">
      <c r="C677" s="92"/>
      <c r="D677" s="92"/>
      <c r="E677" s="92"/>
      <c r="F677" s="92"/>
      <c r="G677" s="92"/>
      <c r="H677" s="92"/>
      <c r="I677" s="92"/>
      <c r="J677" s="93"/>
      <c r="K677" s="93"/>
      <c r="L677" s="90"/>
      <c r="M677" s="90"/>
      <c r="N677" s="90"/>
      <c r="Q677" s="10"/>
    </row>
    <row r="678" spans="3:17" ht="12.75">
      <c r="C678" s="92"/>
      <c r="D678" s="92"/>
      <c r="E678" s="92"/>
      <c r="F678" s="92"/>
      <c r="G678" s="92"/>
      <c r="H678" s="92"/>
      <c r="I678" s="92"/>
      <c r="J678" s="93"/>
      <c r="K678" s="93"/>
      <c r="L678" s="90"/>
      <c r="M678" s="90"/>
      <c r="N678" s="90"/>
      <c r="Q678" s="10"/>
    </row>
    <row r="679" spans="3:17" ht="12.75">
      <c r="C679" s="92"/>
      <c r="D679" s="92"/>
      <c r="E679" s="92"/>
      <c r="F679" s="92"/>
      <c r="G679" s="92"/>
      <c r="H679" s="92"/>
      <c r="I679" s="92"/>
      <c r="J679" s="93"/>
      <c r="K679" s="93"/>
      <c r="L679" s="90"/>
      <c r="M679" s="90"/>
      <c r="N679" s="90"/>
      <c r="Q679" s="10"/>
    </row>
    <row r="680" spans="3:17" ht="12.75">
      <c r="C680" s="92"/>
      <c r="D680" s="92"/>
      <c r="E680" s="92"/>
      <c r="F680" s="92"/>
      <c r="G680" s="92"/>
      <c r="H680" s="92"/>
      <c r="I680" s="92"/>
      <c r="J680" s="93"/>
      <c r="K680" s="93"/>
      <c r="L680" s="90"/>
      <c r="M680" s="90"/>
      <c r="N680" s="90"/>
      <c r="Q680" s="10"/>
    </row>
    <row r="681" spans="3:17" ht="12.75">
      <c r="C681" s="92"/>
      <c r="D681" s="92"/>
      <c r="E681" s="92"/>
      <c r="F681" s="92"/>
      <c r="G681" s="92"/>
      <c r="H681" s="92"/>
      <c r="I681" s="92"/>
      <c r="J681" s="93"/>
      <c r="K681" s="93"/>
      <c r="L681" s="90"/>
      <c r="M681" s="90"/>
      <c r="N681" s="90"/>
      <c r="Q681" s="10"/>
    </row>
    <row r="682" spans="3:17" ht="12.75">
      <c r="C682" s="92"/>
      <c r="D682" s="92"/>
      <c r="E682" s="92"/>
      <c r="F682" s="92"/>
      <c r="G682" s="92"/>
      <c r="H682" s="92"/>
      <c r="I682" s="92"/>
      <c r="J682" s="93"/>
      <c r="K682" s="93"/>
      <c r="L682" s="90"/>
      <c r="M682" s="90"/>
      <c r="N682" s="90"/>
      <c r="Q682" s="10"/>
    </row>
    <row r="683" spans="3:17" ht="12.75">
      <c r="C683" s="92"/>
      <c r="D683" s="92"/>
      <c r="E683" s="92"/>
      <c r="F683" s="92"/>
      <c r="G683" s="92"/>
      <c r="H683" s="92"/>
      <c r="I683" s="92"/>
      <c r="J683" s="93"/>
      <c r="K683" s="93"/>
      <c r="L683" s="90"/>
      <c r="M683" s="90"/>
      <c r="N683" s="90"/>
      <c r="Q683" s="10"/>
    </row>
    <row r="684" spans="3:17" ht="12.75">
      <c r="C684" s="92"/>
      <c r="D684" s="92"/>
      <c r="E684" s="92"/>
      <c r="F684" s="92"/>
      <c r="G684" s="92"/>
      <c r="H684" s="92"/>
      <c r="I684" s="92"/>
      <c r="J684" s="93"/>
      <c r="K684" s="93"/>
      <c r="L684" s="90"/>
      <c r="M684" s="90"/>
      <c r="N684" s="90"/>
      <c r="Q684" s="10"/>
    </row>
    <row r="685" spans="3:17" ht="12.75">
      <c r="C685" s="92"/>
      <c r="D685" s="92"/>
      <c r="E685" s="92"/>
      <c r="F685" s="92"/>
      <c r="G685" s="92"/>
      <c r="H685" s="92"/>
      <c r="I685" s="92"/>
      <c r="J685" s="93"/>
      <c r="K685" s="93"/>
      <c r="L685" s="90"/>
      <c r="M685" s="90"/>
      <c r="N685" s="90"/>
      <c r="Q685" s="10"/>
    </row>
    <row r="686" spans="3:17" ht="12.75">
      <c r="C686" s="92"/>
      <c r="D686" s="92"/>
      <c r="E686" s="92"/>
      <c r="F686" s="92"/>
      <c r="G686" s="92"/>
      <c r="H686" s="92"/>
      <c r="I686" s="92"/>
      <c r="J686" s="93"/>
      <c r="K686" s="93"/>
      <c r="L686" s="90"/>
      <c r="M686" s="90"/>
      <c r="N686" s="90"/>
      <c r="Q686" s="10"/>
    </row>
    <row r="687" spans="3:17" ht="12.75">
      <c r="C687" s="92"/>
      <c r="D687" s="92"/>
      <c r="E687" s="92"/>
      <c r="F687" s="92"/>
      <c r="G687" s="92"/>
      <c r="H687" s="92"/>
      <c r="I687" s="92"/>
      <c r="J687" s="93"/>
      <c r="K687" s="93"/>
      <c r="L687" s="90"/>
      <c r="M687" s="90"/>
      <c r="N687" s="90"/>
      <c r="Q687" s="10"/>
    </row>
    <row r="688" spans="3:17" ht="12.75">
      <c r="C688" s="92"/>
      <c r="D688" s="92"/>
      <c r="E688" s="92"/>
      <c r="F688" s="92"/>
      <c r="G688" s="92"/>
      <c r="H688" s="92"/>
      <c r="I688" s="92"/>
      <c r="J688" s="93"/>
      <c r="K688" s="93"/>
      <c r="L688" s="90"/>
      <c r="M688" s="90"/>
      <c r="N688" s="90"/>
      <c r="Q688" s="10"/>
    </row>
    <row r="689" spans="3:17" ht="12.75">
      <c r="C689" s="92"/>
      <c r="D689" s="92"/>
      <c r="E689" s="92"/>
      <c r="F689" s="92"/>
      <c r="G689" s="92"/>
      <c r="H689" s="92"/>
      <c r="I689" s="92"/>
      <c r="J689" s="93"/>
      <c r="K689" s="93"/>
      <c r="L689" s="90"/>
      <c r="M689" s="90"/>
      <c r="N689" s="90"/>
      <c r="Q689" s="10"/>
    </row>
    <row r="690" spans="3:17" ht="12.75">
      <c r="C690" s="92"/>
      <c r="D690" s="92"/>
      <c r="E690" s="92"/>
      <c r="F690" s="92"/>
      <c r="G690" s="92"/>
      <c r="H690" s="92"/>
      <c r="I690" s="92"/>
      <c r="J690" s="93"/>
      <c r="K690" s="93"/>
      <c r="L690" s="90"/>
      <c r="M690" s="90"/>
      <c r="N690" s="90"/>
      <c r="Q690" s="10"/>
    </row>
    <row r="691" spans="3:17" ht="12.75">
      <c r="C691" s="92"/>
      <c r="D691" s="92"/>
      <c r="E691" s="92"/>
      <c r="F691" s="92"/>
      <c r="G691" s="92"/>
      <c r="H691" s="92"/>
      <c r="I691" s="92"/>
      <c r="J691" s="93"/>
      <c r="K691" s="93"/>
      <c r="L691" s="90"/>
      <c r="M691" s="90"/>
      <c r="N691" s="90"/>
      <c r="Q691" s="10"/>
    </row>
    <row r="692" spans="3:17" ht="12.75">
      <c r="C692" s="92"/>
      <c r="D692" s="92"/>
      <c r="E692" s="92"/>
      <c r="F692" s="92"/>
      <c r="G692" s="92"/>
      <c r="H692" s="92"/>
      <c r="I692" s="92"/>
      <c r="J692" s="93"/>
      <c r="K692" s="93"/>
      <c r="L692" s="90"/>
      <c r="M692" s="90"/>
      <c r="N692" s="90"/>
      <c r="Q692" s="10"/>
    </row>
    <row r="693" spans="3:17" ht="12.75">
      <c r="C693" s="92"/>
      <c r="D693" s="92"/>
      <c r="E693" s="92"/>
      <c r="F693" s="92"/>
      <c r="G693" s="92"/>
      <c r="H693" s="92"/>
      <c r="I693" s="92"/>
      <c r="J693" s="93"/>
      <c r="K693" s="93"/>
      <c r="L693" s="90"/>
      <c r="M693" s="90"/>
      <c r="N693" s="90"/>
      <c r="Q693" s="10"/>
    </row>
    <row r="694" spans="3:17" ht="12.75">
      <c r="C694" s="92"/>
      <c r="D694" s="92"/>
      <c r="E694" s="92"/>
      <c r="F694" s="92"/>
      <c r="G694" s="92"/>
      <c r="H694" s="92"/>
      <c r="I694" s="92"/>
      <c r="J694" s="93"/>
      <c r="K694" s="93"/>
      <c r="L694" s="90"/>
      <c r="M694" s="90"/>
      <c r="N694" s="90"/>
      <c r="Q694" s="10"/>
    </row>
    <row r="695" spans="3:17" ht="12.75">
      <c r="C695" s="92"/>
      <c r="D695" s="92"/>
      <c r="E695" s="92"/>
      <c r="F695" s="92"/>
      <c r="G695" s="92"/>
      <c r="H695" s="92"/>
      <c r="I695" s="92"/>
      <c r="J695" s="93"/>
      <c r="K695" s="93"/>
      <c r="L695" s="90"/>
      <c r="M695" s="90"/>
      <c r="N695" s="90"/>
      <c r="Q695" s="10"/>
    </row>
    <row r="696" spans="3:17" ht="12.75">
      <c r="C696" s="92"/>
      <c r="D696" s="92"/>
      <c r="E696" s="92"/>
      <c r="F696" s="92"/>
      <c r="G696" s="92"/>
      <c r="H696" s="92"/>
      <c r="I696" s="92"/>
      <c r="J696" s="93"/>
      <c r="K696" s="93"/>
      <c r="L696" s="90"/>
      <c r="M696" s="90"/>
      <c r="N696" s="90"/>
      <c r="Q696" s="10"/>
    </row>
    <row r="697" spans="3:17" ht="12.75">
      <c r="C697" s="92"/>
      <c r="D697" s="92"/>
      <c r="E697" s="92"/>
      <c r="F697" s="92"/>
      <c r="G697" s="92"/>
      <c r="H697" s="92"/>
      <c r="I697" s="92"/>
      <c r="J697" s="93"/>
      <c r="K697" s="93"/>
      <c r="L697" s="90"/>
      <c r="M697" s="90"/>
      <c r="N697" s="90"/>
      <c r="Q697" s="10"/>
    </row>
    <row r="698" spans="3:17" ht="12.75">
      <c r="C698" s="92"/>
      <c r="D698" s="92"/>
      <c r="E698" s="92"/>
      <c r="F698" s="92"/>
      <c r="G698" s="92"/>
      <c r="H698" s="92"/>
      <c r="I698" s="92"/>
      <c r="J698" s="93"/>
      <c r="K698" s="93"/>
      <c r="L698" s="90"/>
      <c r="M698" s="90"/>
      <c r="N698" s="90"/>
      <c r="Q698" s="10"/>
    </row>
    <row r="699" spans="3:17" ht="12.75">
      <c r="C699" s="92"/>
      <c r="D699" s="92"/>
      <c r="E699" s="92"/>
      <c r="F699" s="92"/>
      <c r="G699" s="92"/>
      <c r="H699" s="92"/>
      <c r="I699" s="92"/>
      <c r="J699" s="93"/>
      <c r="K699" s="93"/>
      <c r="L699" s="90"/>
      <c r="M699" s="90"/>
      <c r="N699" s="90"/>
      <c r="Q699" s="10"/>
    </row>
    <row r="700" spans="3:17" ht="12.75">
      <c r="C700" s="92"/>
      <c r="D700" s="92"/>
      <c r="E700" s="92"/>
      <c r="F700" s="92"/>
      <c r="G700" s="92"/>
      <c r="H700" s="92"/>
      <c r="I700" s="92"/>
      <c r="J700" s="93"/>
      <c r="K700" s="93"/>
      <c r="L700" s="90"/>
      <c r="M700" s="90"/>
      <c r="N700" s="90"/>
      <c r="Q700" s="10"/>
    </row>
    <row r="701" spans="3:17" ht="12.75">
      <c r="C701" s="92"/>
      <c r="D701" s="92"/>
      <c r="E701" s="92"/>
      <c r="F701" s="92"/>
      <c r="G701" s="92"/>
      <c r="H701" s="92"/>
      <c r="I701" s="92"/>
      <c r="J701" s="93"/>
      <c r="K701" s="93"/>
      <c r="L701" s="90"/>
      <c r="M701" s="90"/>
      <c r="N701" s="90"/>
      <c r="Q701" s="10"/>
    </row>
    <row r="702" spans="3:17" ht="12.75">
      <c r="C702" s="92"/>
      <c r="D702" s="92"/>
      <c r="E702" s="92"/>
      <c r="F702" s="92"/>
      <c r="G702" s="92"/>
      <c r="H702" s="92"/>
      <c r="I702" s="92"/>
      <c r="J702" s="93"/>
      <c r="K702" s="93"/>
      <c r="L702" s="90"/>
      <c r="M702" s="90"/>
      <c r="N702" s="90"/>
      <c r="Q702" s="10"/>
    </row>
    <row r="703" spans="3:17" ht="12.75">
      <c r="C703" s="92"/>
      <c r="D703" s="92"/>
      <c r="E703" s="92"/>
      <c r="F703" s="92"/>
      <c r="G703" s="92"/>
      <c r="H703" s="92"/>
      <c r="I703" s="92"/>
      <c r="J703" s="93"/>
      <c r="K703" s="93"/>
      <c r="L703" s="90"/>
      <c r="M703" s="90"/>
      <c r="N703" s="90"/>
      <c r="Q703" s="10"/>
    </row>
    <row r="704" spans="3:17" ht="12.75">
      <c r="C704" s="92"/>
      <c r="D704" s="92"/>
      <c r="E704" s="92"/>
      <c r="F704" s="92"/>
      <c r="G704" s="92"/>
      <c r="H704" s="92"/>
      <c r="I704" s="92"/>
      <c r="J704" s="93"/>
      <c r="K704" s="93"/>
      <c r="L704" s="90"/>
      <c r="M704" s="90"/>
      <c r="N704" s="90"/>
      <c r="Q704" s="10"/>
    </row>
    <row r="705" spans="3:17" ht="12.75">
      <c r="C705" s="92"/>
      <c r="D705" s="92"/>
      <c r="E705" s="92"/>
      <c r="F705" s="92"/>
      <c r="G705" s="92"/>
      <c r="H705" s="92"/>
      <c r="I705" s="92"/>
      <c r="J705" s="93"/>
      <c r="K705" s="93"/>
      <c r="L705" s="90"/>
      <c r="M705" s="90"/>
      <c r="N705" s="90"/>
      <c r="Q705" s="10"/>
    </row>
    <row r="706" spans="3:17" ht="12.75">
      <c r="C706" s="92"/>
      <c r="D706" s="92"/>
      <c r="E706" s="92"/>
      <c r="F706" s="92"/>
      <c r="G706" s="92"/>
      <c r="H706" s="92"/>
      <c r="I706" s="92"/>
      <c r="J706" s="93"/>
      <c r="K706" s="93"/>
      <c r="L706" s="90"/>
      <c r="M706" s="90"/>
      <c r="N706" s="90"/>
      <c r="Q706" s="10"/>
    </row>
    <row r="707" spans="3:17" ht="12.75">
      <c r="C707" s="92"/>
      <c r="D707" s="92"/>
      <c r="E707" s="92"/>
      <c r="F707" s="92"/>
      <c r="G707" s="92"/>
      <c r="H707" s="92"/>
      <c r="I707" s="92"/>
      <c r="J707" s="93"/>
      <c r="K707" s="93"/>
      <c r="L707" s="90"/>
      <c r="M707" s="90"/>
      <c r="N707" s="90"/>
      <c r="Q707" s="10"/>
    </row>
    <row r="708" spans="3:17" ht="12.75">
      <c r="C708" s="92"/>
      <c r="D708" s="92"/>
      <c r="E708" s="92"/>
      <c r="F708" s="92"/>
      <c r="G708" s="92"/>
      <c r="H708" s="92"/>
      <c r="I708" s="92"/>
      <c r="J708" s="93"/>
      <c r="K708" s="93"/>
      <c r="L708" s="90"/>
      <c r="M708" s="90"/>
      <c r="N708" s="90"/>
      <c r="Q708" s="10"/>
    </row>
    <row r="709" spans="3:17" ht="12.75">
      <c r="C709" s="92"/>
      <c r="D709" s="92"/>
      <c r="E709" s="92"/>
      <c r="F709" s="92"/>
      <c r="G709" s="92"/>
      <c r="H709" s="92"/>
      <c r="I709" s="92"/>
      <c r="J709" s="93"/>
      <c r="K709" s="93"/>
      <c r="L709" s="90"/>
      <c r="M709" s="90"/>
      <c r="N709" s="90"/>
      <c r="Q709" s="10"/>
    </row>
    <row r="710" spans="3:17" ht="12.75">
      <c r="C710" s="92"/>
      <c r="D710" s="92"/>
      <c r="E710" s="92"/>
      <c r="F710" s="92"/>
      <c r="G710" s="92"/>
      <c r="H710" s="92"/>
      <c r="I710" s="92"/>
      <c r="J710" s="93"/>
      <c r="K710" s="93"/>
      <c r="L710" s="90"/>
      <c r="M710" s="90"/>
      <c r="N710" s="90"/>
      <c r="Q710" s="10"/>
    </row>
    <row r="711" spans="3:17" ht="12.75">
      <c r="C711" s="92"/>
      <c r="D711" s="92"/>
      <c r="E711" s="92"/>
      <c r="F711" s="92"/>
      <c r="G711" s="92"/>
      <c r="H711" s="92"/>
      <c r="I711" s="92"/>
      <c r="J711" s="93"/>
      <c r="K711" s="93"/>
      <c r="L711" s="90"/>
      <c r="M711" s="90"/>
      <c r="N711" s="90"/>
      <c r="Q711" s="10"/>
    </row>
    <row r="712" spans="3:17" ht="12.75">
      <c r="C712" s="92"/>
      <c r="D712" s="92"/>
      <c r="E712" s="92"/>
      <c r="F712" s="92"/>
      <c r="G712" s="92"/>
      <c r="H712" s="92"/>
      <c r="I712" s="92"/>
      <c r="J712" s="93"/>
      <c r="K712" s="93"/>
      <c r="L712" s="90"/>
      <c r="M712" s="90"/>
      <c r="N712" s="90"/>
      <c r="Q712" s="10"/>
    </row>
    <row r="713" spans="3:17" ht="12.75">
      <c r="C713" s="92"/>
      <c r="D713" s="92"/>
      <c r="E713" s="92"/>
      <c r="F713" s="92"/>
      <c r="G713" s="92"/>
      <c r="H713" s="92"/>
      <c r="I713" s="92"/>
      <c r="J713" s="93"/>
      <c r="K713" s="93"/>
      <c r="L713" s="90"/>
      <c r="M713" s="90"/>
      <c r="N713" s="90"/>
      <c r="Q713" s="10"/>
    </row>
    <row r="714" spans="3:17" ht="12.75">
      <c r="C714" s="92"/>
      <c r="D714" s="92"/>
      <c r="E714" s="92"/>
      <c r="F714" s="92"/>
      <c r="G714" s="92"/>
      <c r="H714" s="92"/>
      <c r="I714" s="92"/>
      <c r="J714" s="93"/>
      <c r="K714" s="93"/>
      <c r="L714" s="90"/>
      <c r="M714" s="90"/>
      <c r="N714" s="90"/>
      <c r="Q714" s="10"/>
    </row>
    <row r="715" spans="3:17" ht="12.75">
      <c r="C715" s="92"/>
      <c r="D715" s="92"/>
      <c r="E715" s="92"/>
      <c r="F715" s="92"/>
      <c r="G715" s="92"/>
      <c r="H715" s="92"/>
      <c r="I715" s="92"/>
      <c r="J715" s="93"/>
      <c r="K715" s="93"/>
      <c r="L715" s="90"/>
      <c r="M715" s="90"/>
      <c r="N715" s="90"/>
      <c r="Q715" s="10"/>
    </row>
    <row r="716" spans="3:17" ht="12.75">
      <c r="C716" s="92"/>
      <c r="D716" s="92"/>
      <c r="E716" s="92"/>
      <c r="F716" s="92"/>
      <c r="G716" s="92"/>
      <c r="H716" s="92"/>
      <c r="I716" s="92"/>
      <c r="J716" s="93"/>
      <c r="K716" s="93"/>
      <c r="L716" s="90"/>
      <c r="M716" s="90"/>
      <c r="N716" s="90"/>
      <c r="Q716" s="10"/>
    </row>
    <row r="717" spans="3:17" ht="12.75">
      <c r="C717" s="92"/>
      <c r="D717" s="92"/>
      <c r="E717" s="92"/>
      <c r="F717" s="92"/>
      <c r="G717" s="92"/>
      <c r="H717" s="92"/>
      <c r="I717" s="92"/>
      <c r="J717" s="93"/>
      <c r="K717" s="93"/>
      <c r="L717" s="90"/>
      <c r="M717" s="90"/>
      <c r="N717" s="90"/>
      <c r="Q717" s="10"/>
    </row>
    <row r="718" spans="3:17" ht="12.75">
      <c r="C718" s="92"/>
      <c r="D718" s="92"/>
      <c r="E718" s="92"/>
      <c r="F718" s="92"/>
      <c r="G718" s="92"/>
      <c r="H718" s="92"/>
      <c r="I718" s="92"/>
      <c r="J718" s="93"/>
      <c r="K718" s="93"/>
      <c r="L718" s="90"/>
      <c r="M718" s="90"/>
      <c r="N718" s="90"/>
      <c r="Q718" s="10"/>
    </row>
    <row r="719" spans="3:17" ht="12.75">
      <c r="C719" s="92"/>
      <c r="D719" s="92"/>
      <c r="E719" s="92"/>
      <c r="F719" s="92"/>
      <c r="G719" s="92"/>
      <c r="H719" s="92"/>
      <c r="I719" s="92"/>
      <c r="J719" s="93"/>
      <c r="K719" s="93"/>
      <c r="L719" s="90"/>
      <c r="M719" s="90"/>
      <c r="N719" s="90"/>
      <c r="Q719" s="10"/>
    </row>
    <row r="720" spans="3:17" ht="12.75">
      <c r="C720" s="92"/>
      <c r="D720" s="92"/>
      <c r="E720" s="92"/>
      <c r="F720" s="92"/>
      <c r="G720" s="92"/>
      <c r="H720" s="92"/>
      <c r="I720" s="92"/>
      <c r="J720" s="93"/>
      <c r="K720" s="93"/>
      <c r="L720" s="90"/>
      <c r="M720" s="90"/>
      <c r="N720" s="90"/>
      <c r="Q720" s="10"/>
    </row>
    <row r="721" spans="3:17" ht="12.75">
      <c r="C721" s="92"/>
      <c r="D721" s="92"/>
      <c r="E721" s="92"/>
      <c r="F721" s="92"/>
      <c r="G721" s="92"/>
      <c r="H721" s="92"/>
      <c r="I721" s="92"/>
      <c r="J721" s="93"/>
      <c r="K721" s="93"/>
      <c r="L721" s="90"/>
      <c r="M721" s="90"/>
      <c r="N721" s="90"/>
      <c r="Q721" s="10"/>
    </row>
    <row r="722" spans="3:17" ht="12.75">
      <c r="C722" s="92"/>
      <c r="D722" s="92"/>
      <c r="E722" s="92"/>
      <c r="F722" s="92"/>
      <c r="G722" s="92"/>
      <c r="H722" s="92"/>
      <c r="I722" s="92"/>
      <c r="J722" s="93"/>
      <c r="K722" s="93"/>
      <c r="L722" s="90"/>
      <c r="M722" s="90"/>
      <c r="N722" s="90"/>
      <c r="Q722" s="10"/>
    </row>
    <row r="723" spans="3:17" ht="12.75">
      <c r="C723" s="92"/>
      <c r="D723" s="92"/>
      <c r="E723" s="92"/>
      <c r="F723" s="92"/>
      <c r="G723" s="92"/>
      <c r="H723" s="92"/>
      <c r="I723" s="92"/>
      <c r="J723" s="93"/>
      <c r="K723" s="93"/>
      <c r="L723" s="90"/>
      <c r="M723" s="90"/>
      <c r="N723" s="90"/>
      <c r="Q723" s="10"/>
    </row>
    <row r="724" spans="3:17" ht="12.75">
      <c r="C724" s="92"/>
      <c r="D724" s="92"/>
      <c r="E724" s="92"/>
      <c r="F724" s="92"/>
      <c r="G724" s="92"/>
      <c r="H724" s="92"/>
      <c r="I724" s="92"/>
      <c r="J724" s="93"/>
      <c r="K724" s="93"/>
      <c r="L724" s="90"/>
      <c r="M724" s="90"/>
      <c r="N724" s="90"/>
      <c r="Q724" s="10"/>
    </row>
    <row r="725" spans="3:17" ht="12.75">
      <c r="C725" s="92"/>
      <c r="D725" s="92"/>
      <c r="E725" s="92"/>
      <c r="F725" s="92"/>
      <c r="G725" s="92"/>
      <c r="H725" s="92"/>
      <c r="I725" s="92"/>
      <c r="J725" s="93"/>
      <c r="K725" s="93"/>
      <c r="L725" s="90"/>
      <c r="M725" s="90"/>
      <c r="N725" s="90"/>
      <c r="Q725" s="10"/>
    </row>
    <row r="726" spans="3:17" ht="12.75">
      <c r="C726" s="92"/>
      <c r="D726" s="92"/>
      <c r="E726" s="92"/>
      <c r="F726" s="92"/>
      <c r="G726" s="92"/>
      <c r="H726" s="92"/>
      <c r="I726" s="92"/>
      <c r="J726" s="93"/>
      <c r="K726" s="93"/>
      <c r="L726" s="90"/>
      <c r="M726" s="90"/>
      <c r="N726" s="90"/>
      <c r="Q726" s="10"/>
    </row>
    <row r="727" spans="3:17" ht="12.75">
      <c r="C727" s="92"/>
      <c r="D727" s="92"/>
      <c r="E727" s="92"/>
      <c r="F727" s="92"/>
      <c r="G727" s="92"/>
      <c r="H727" s="92"/>
      <c r="I727" s="92"/>
      <c r="J727" s="93"/>
      <c r="K727" s="93"/>
      <c r="L727" s="90"/>
      <c r="M727" s="90"/>
      <c r="N727" s="90"/>
      <c r="Q727" s="10"/>
    </row>
    <row r="728" spans="3:17" ht="12.75">
      <c r="C728" s="92"/>
      <c r="D728" s="92"/>
      <c r="E728" s="92"/>
      <c r="F728" s="92"/>
      <c r="G728" s="92"/>
      <c r="H728" s="92"/>
      <c r="I728" s="92"/>
      <c r="J728" s="93"/>
      <c r="K728" s="93"/>
      <c r="L728" s="90"/>
      <c r="M728" s="90"/>
      <c r="N728" s="90"/>
      <c r="Q728" s="10"/>
    </row>
    <row r="729" spans="3:17" ht="12.75">
      <c r="C729" s="92"/>
      <c r="D729" s="92"/>
      <c r="E729" s="92"/>
      <c r="F729" s="92"/>
      <c r="G729" s="92"/>
      <c r="H729" s="92"/>
      <c r="I729" s="92"/>
      <c r="J729" s="93"/>
      <c r="K729" s="93"/>
      <c r="L729" s="90"/>
      <c r="M729" s="90"/>
      <c r="N729" s="90"/>
      <c r="Q729" s="10"/>
    </row>
    <row r="730" spans="3:17" ht="12.75">
      <c r="C730" s="92"/>
      <c r="D730" s="92"/>
      <c r="E730" s="92"/>
      <c r="F730" s="92"/>
      <c r="G730" s="92"/>
      <c r="H730" s="92"/>
      <c r="I730" s="92"/>
      <c r="J730" s="93"/>
      <c r="K730" s="93"/>
      <c r="L730" s="90"/>
      <c r="M730" s="90"/>
      <c r="N730" s="90"/>
      <c r="Q730" s="10"/>
    </row>
    <row r="731" spans="3:17" ht="12.75">
      <c r="C731" s="92"/>
      <c r="D731" s="92"/>
      <c r="E731" s="92"/>
      <c r="F731" s="92"/>
      <c r="G731" s="92"/>
      <c r="H731" s="92"/>
      <c r="I731" s="92"/>
      <c r="J731" s="93"/>
      <c r="K731" s="93"/>
      <c r="L731" s="90"/>
      <c r="M731" s="90"/>
      <c r="N731" s="90"/>
      <c r="Q731" s="10"/>
    </row>
    <row r="732" spans="3:17" ht="12.75">
      <c r="C732" s="92"/>
      <c r="D732" s="92"/>
      <c r="E732" s="92"/>
      <c r="F732" s="92"/>
      <c r="G732" s="92"/>
      <c r="H732" s="92"/>
      <c r="I732" s="92"/>
      <c r="J732" s="93"/>
      <c r="K732" s="93"/>
      <c r="L732" s="90"/>
      <c r="M732" s="90"/>
      <c r="N732" s="90"/>
      <c r="Q732" s="10"/>
    </row>
    <row r="733" spans="3:17" ht="12.75">
      <c r="C733" s="92"/>
      <c r="D733" s="92"/>
      <c r="E733" s="92"/>
      <c r="F733" s="92"/>
      <c r="G733" s="92"/>
      <c r="H733" s="92"/>
      <c r="I733" s="92"/>
      <c r="J733" s="93"/>
      <c r="K733" s="93"/>
      <c r="L733" s="90"/>
      <c r="M733" s="90"/>
      <c r="N733" s="90"/>
      <c r="Q733" s="10"/>
    </row>
    <row r="734" spans="3:17" ht="12.75">
      <c r="C734" s="92"/>
      <c r="D734" s="92"/>
      <c r="E734" s="92"/>
      <c r="F734" s="92"/>
      <c r="G734" s="92"/>
      <c r="H734" s="92"/>
      <c r="I734" s="92"/>
      <c r="J734" s="93"/>
      <c r="K734" s="93"/>
      <c r="L734" s="90"/>
      <c r="M734" s="90"/>
      <c r="N734" s="90"/>
      <c r="Q734" s="10"/>
    </row>
    <row r="735" spans="3:17" ht="12.75">
      <c r="C735" s="92"/>
      <c r="D735" s="92"/>
      <c r="E735" s="92"/>
      <c r="F735" s="92"/>
      <c r="G735" s="92"/>
      <c r="H735" s="92"/>
      <c r="I735" s="92"/>
      <c r="J735" s="93"/>
      <c r="K735" s="93"/>
      <c r="L735" s="90"/>
      <c r="M735" s="90"/>
      <c r="N735" s="90"/>
      <c r="Q735" s="10"/>
    </row>
    <row r="736" spans="3:17" ht="12.75">
      <c r="C736" s="92"/>
      <c r="D736" s="92"/>
      <c r="E736" s="92"/>
      <c r="F736" s="92"/>
      <c r="G736" s="92"/>
      <c r="H736" s="92"/>
      <c r="I736" s="92"/>
      <c r="J736" s="93"/>
      <c r="K736" s="93"/>
      <c r="L736" s="90"/>
      <c r="M736" s="90"/>
      <c r="N736" s="90"/>
      <c r="Q736" s="10"/>
    </row>
    <row r="737" spans="3:17" ht="12.75">
      <c r="C737" s="92"/>
      <c r="D737" s="92"/>
      <c r="E737" s="92"/>
      <c r="F737" s="92"/>
      <c r="G737" s="92"/>
      <c r="H737" s="92"/>
      <c r="I737" s="92"/>
      <c r="J737" s="93"/>
      <c r="K737" s="93"/>
      <c r="L737" s="90"/>
      <c r="M737" s="90"/>
      <c r="N737" s="90"/>
      <c r="Q737" s="10"/>
    </row>
    <row r="738" spans="3:17" ht="12.75">
      <c r="C738" s="92"/>
      <c r="D738" s="92"/>
      <c r="E738" s="92"/>
      <c r="F738" s="92"/>
      <c r="G738" s="92"/>
      <c r="H738" s="92"/>
      <c r="I738" s="92"/>
      <c r="J738" s="93"/>
      <c r="K738" s="93"/>
      <c r="L738" s="90"/>
      <c r="M738" s="90"/>
      <c r="N738" s="90"/>
      <c r="Q738" s="10"/>
    </row>
    <row r="739" spans="3:17" ht="12.75">
      <c r="C739" s="92"/>
      <c r="D739" s="92"/>
      <c r="E739" s="92"/>
      <c r="F739" s="92"/>
      <c r="G739" s="92"/>
      <c r="H739" s="92"/>
      <c r="I739" s="92"/>
      <c r="J739" s="93"/>
      <c r="K739" s="93"/>
      <c r="L739" s="90"/>
      <c r="M739" s="90"/>
      <c r="N739" s="90"/>
      <c r="Q739" s="10"/>
    </row>
    <row r="740" spans="3:17" ht="12.75">
      <c r="C740" s="92"/>
      <c r="D740" s="92"/>
      <c r="E740" s="92"/>
      <c r="F740" s="92"/>
      <c r="G740" s="92"/>
      <c r="H740" s="92"/>
      <c r="I740" s="92"/>
      <c r="J740" s="93"/>
      <c r="K740" s="93"/>
      <c r="L740" s="90"/>
      <c r="M740" s="90"/>
      <c r="N740" s="90"/>
      <c r="Q740" s="10"/>
    </row>
    <row r="741" spans="3:17" ht="12.75">
      <c r="C741" s="92"/>
      <c r="D741" s="92"/>
      <c r="E741" s="92"/>
      <c r="F741" s="92"/>
      <c r="G741" s="92"/>
      <c r="H741" s="92"/>
      <c r="I741" s="92"/>
      <c r="J741" s="93"/>
      <c r="K741" s="93"/>
      <c r="L741" s="90"/>
      <c r="M741" s="90"/>
      <c r="N741" s="90"/>
      <c r="Q741" s="10"/>
    </row>
    <row r="742" spans="3:17" ht="12.75">
      <c r="C742" s="92"/>
      <c r="D742" s="92"/>
      <c r="E742" s="92"/>
      <c r="F742" s="92"/>
      <c r="G742" s="92"/>
      <c r="H742" s="92"/>
      <c r="I742" s="92"/>
      <c r="J742" s="93"/>
      <c r="K742" s="93"/>
      <c r="L742" s="90"/>
      <c r="M742" s="90"/>
      <c r="N742" s="90"/>
      <c r="Q742" s="10"/>
    </row>
    <row r="743" spans="3:17" ht="12.75">
      <c r="C743" s="92"/>
      <c r="D743" s="92"/>
      <c r="E743" s="92"/>
      <c r="F743" s="92"/>
      <c r="G743" s="92"/>
      <c r="H743" s="92"/>
      <c r="I743" s="92"/>
      <c r="J743" s="93"/>
      <c r="K743" s="93"/>
      <c r="L743" s="90"/>
      <c r="M743" s="90"/>
      <c r="N743" s="90"/>
      <c r="Q743" s="10"/>
    </row>
    <row r="744" spans="3:17" ht="12.75">
      <c r="C744" s="92"/>
      <c r="D744" s="92"/>
      <c r="E744" s="92"/>
      <c r="F744" s="92"/>
      <c r="G744" s="92"/>
      <c r="H744" s="92"/>
      <c r="I744" s="92"/>
      <c r="J744" s="93"/>
      <c r="K744" s="93"/>
      <c r="L744" s="90"/>
      <c r="M744" s="90"/>
      <c r="N744" s="90"/>
      <c r="Q744" s="10"/>
    </row>
    <row r="745" spans="3:17" ht="12.75">
      <c r="C745" s="92"/>
      <c r="D745" s="92"/>
      <c r="E745" s="92"/>
      <c r="F745" s="92"/>
      <c r="G745" s="92"/>
      <c r="H745" s="92"/>
      <c r="I745" s="92"/>
      <c r="J745" s="93"/>
      <c r="K745" s="93"/>
      <c r="L745" s="90"/>
      <c r="M745" s="90"/>
      <c r="N745" s="90"/>
      <c r="Q745" s="10"/>
    </row>
    <row r="746" spans="3:17" ht="12.75">
      <c r="C746" s="92"/>
      <c r="D746" s="92"/>
      <c r="E746" s="92"/>
      <c r="F746" s="92"/>
      <c r="G746" s="92"/>
      <c r="H746" s="92"/>
      <c r="I746" s="92"/>
      <c r="J746" s="93"/>
      <c r="K746" s="93"/>
      <c r="L746" s="90"/>
      <c r="M746" s="90"/>
      <c r="N746" s="90"/>
      <c r="Q746" s="10"/>
    </row>
    <row r="747" spans="3:17" ht="12.75">
      <c r="C747" s="92"/>
      <c r="D747" s="92"/>
      <c r="E747" s="92"/>
      <c r="F747" s="92"/>
      <c r="G747" s="92"/>
      <c r="H747" s="92"/>
      <c r="I747" s="92"/>
      <c r="J747" s="93"/>
      <c r="K747" s="93"/>
      <c r="L747" s="90"/>
      <c r="M747" s="90"/>
      <c r="N747" s="90"/>
      <c r="Q747" s="10"/>
    </row>
    <row r="748" spans="3:17" ht="12.75">
      <c r="C748" s="92"/>
      <c r="D748" s="92"/>
      <c r="E748" s="92"/>
      <c r="F748" s="92"/>
      <c r="G748" s="92"/>
      <c r="H748" s="92"/>
      <c r="I748" s="92"/>
      <c r="J748" s="93"/>
      <c r="K748" s="93"/>
      <c r="L748" s="90"/>
      <c r="M748" s="90"/>
      <c r="N748" s="90"/>
      <c r="Q748" s="10"/>
    </row>
    <row r="749" spans="3:17" ht="12.75">
      <c r="C749" s="92"/>
      <c r="D749" s="92"/>
      <c r="E749" s="92"/>
      <c r="F749" s="92"/>
      <c r="G749" s="92"/>
      <c r="H749" s="92"/>
      <c r="I749" s="92"/>
      <c r="J749" s="93"/>
      <c r="K749" s="93"/>
      <c r="L749" s="90"/>
      <c r="M749" s="90"/>
      <c r="N749" s="90"/>
      <c r="Q749" s="10"/>
    </row>
    <row r="750" spans="3:17" ht="12.75">
      <c r="C750" s="92"/>
      <c r="D750" s="92"/>
      <c r="E750" s="92"/>
      <c r="F750" s="92"/>
      <c r="G750" s="92"/>
      <c r="H750" s="92"/>
      <c r="I750" s="92"/>
      <c r="J750" s="93"/>
      <c r="K750" s="93"/>
      <c r="L750" s="90"/>
      <c r="M750" s="90"/>
      <c r="N750" s="90"/>
      <c r="Q750" s="10"/>
    </row>
    <row r="751" spans="3:17" ht="12.75">
      <c r="C751" s="92"/>
      <c r="D751" s="92"/>
      <c r="E751" s="92"/>
      <c r="F751" s="92"/>
      <c r="G751" s="92"/>
      <c r="H751" s="92"/>
      <c r="I751" s="92"/>
      <c r="J751" s="93"/>
      <c r="K751" s="93"/>
      <c r="L751" s="90"/>
      <c r="M751" s="90"/>
      <c r="N751" s="90"/>
      <c r="Q751" s="10"/>
    </row>
    <row r="752" spans="3:17" ht="12.75">
      <c r="C752" s="92"/>
      <c r="D752" s="92"/>
      <c r="E752" s="92"/>
      <c r="F752" s="92"/>
      <c r="G752" s="92"/>
      <c r="H752" s="92"/>
      <c r="I752" s="92"/>
      <c r="J752" s="93"/>
      <c r="K752" s="93"/>
      <c r="L752" s="90"/>
      <c r="M752" s="90"/>
      <c r="N752" s="90"/>
      <c r="Q752" s="10"/>
    </row>
    <row r="753" spans="3:17" ht="12.75">
      <c r="C753" s="92"/>
      <c r="D753" s="92"/>
      <c r="E753" s="92"/>
      <c r="F753" s="92"/>
      <c r="G753" s="92"/>
      <c r="H753" s="92"/>
      <c r="I753" s="92"/>
      <c r="J753" s="93"/>
      <c r="K753" s="93"/>
      <c r="L753" s="90"/>
      <c r="M753" s="90"/>
      <c r="N753" s="90"/>
      <c r="Q753" s="10"/>
    </row>
    <row r="754" spans="3:17" ht="12.75">
      <c r="C754" s="92"/>
      <c r="D754" s="92"/>
      <c r="E754" s="92"/>
      <c r="F754" s="92"/>
      <c r="G754" s="92"/>
      <c r="H754" s="92"/>
      <c r="I754" s="92"/>
      <c r="J754" s="93"/>
      <c r="K754" s="93"/>
      <c r="L754" s="90"/>
      <c r="M754" s="90"/>
      <c r="N754" s="90"/>
      <c r="Q754" s="10"/>
    </row>
    <row r="755" spans="3:17" ht="12.75">
      <c r="C755" s="92"/>
      <c r="D755" s="92"/>
      <c r="E755" s="92"/>
      <c r="F755" s="92"/>
      <c r="G755" s="92"/>
      <c r="H755" s="92"/>
      <c r="I755" s="92"/>
      <c r="J755" s="93"/>
      <c r="K755" s="93"/>
      <c r="L755" s="90"/>
      <c r="M755" s="90"/>
      <c r="N755" s="90"/>
      <c r="Q755" s="10"/>
    </row>
    <row r="756" spans="3:17" ht="12.75">
      <c r="C756" s="92"/>
      <c r="D756" s="92"/>
      <c r="E756" s="92"/>
      <c r="F756" s="92"/>
      <c r="G756" s="92"/>
      <c r="H756" s="92"/>
      <c r="I756" s="92"/>
      <c r="J756" s="93"/>
      <c r="K756" s="93"/>
      <c r="L756" s="90"/>
      <c r="M756" s="90"/>
      <c r="N756" s="90"/>
      <c r="Q756" s="10"/>
    </row>
    <row r="757" spans="3:17" ht="12.75">
      <c r="C757" s="92"/>
      <c r="D757" s="92"/>
      <c r="E757" s="92"/>
      <c r="F757" s="92"/>
      <c r="G757" s="92"/>
      <c r="H757" s="92"/>
      <c r="I757" s="92"/>
      <c r="J757" s="93"/>
      <c r="K757" s="93"/>
      <c r="L757" s="90"/>
      <c r="M757" s="90"/>
      <c r="N757" s="90"/>
      <c r="Q757" s="10"/>
    </row>
    <row r="758" spans="3:17" ht="12.75">
      <c r="C758" s="92"/>
      <c r="D758" s="92"/>
      <c r="E758" s="92"/>
      <c r="F758" s="92"/>
      <c r="G758" s="92"/>
      <c r="H758" s="92"/>
      <c r="I758" s="92"/>
      <c r="J758" s="93"/>
      <c r="K758" s="93"/>
      <c r="L758" s="90"/>
      <c r="M758" s="90"/>
      <c r="N758" s="90"/>
      <c r="Q758" s="10"/>
    </row>
    <row r="759" spans="3:17" ht="12.75">
      <c r="C759" s="92"/>
      <c r="D759" s="92"/>
      <c r="E759" s="92"/>
      <c r="F759" s="92"/>
      <c r="G759" s="92"/>
      <c r="H759" s="92"/>
      <c r="I759" s="92"/>
      <c r="J759" s="93"/>
      <c r="K759" s="93"/>
      <c r="L759" s="90"/>
      <c r="M759" s="90"/>
      <c r="N759" s="90"/>
      <c r="Q759" s="10"/>
    </row>
    <row r="760" spans="3:17" ht="12.75">
      <c r="C760" s="92"/>
      <c r="D760" s="92"/>
      <c r="E760" s="92"/>
      <c r="F760" s="92"/>
      <c r="G760" s="92"/>
      <c r="H760" s="92"/>
      <c r="I760" s="92"/>
      <c r="J760" s="93"/>
      <c r="K760" s="93"/>
      <c r="L760" s="90"/>
      <c r="M760" s="90"/>
      <c r="N760" s="90"/>
      <c r="Q760" s="10"/>
    </row>
    <row r="761" spans="3:17" ht="12.75">
      <c r="C761" s="92"/>
      <c r="D761" s="92"/>
      <c r="E761" s="92"/>
      <c r="F761" s="92"/>
      <c r="G761" s="92"/>
      <c r="H761" s="92"/>
      <c r="I761" s="92"/>
      <c r="J761" s="93"/>
      <c r="K761" s="93"/>
      <c r="L761" s="90"/>
      <c r="M761" s="90"/>
      <c r="N761" s="90"/>
      <c r="Q761" s="10"/>
    </row>
    <row r="762" spans="3:17" ht="12.75">
      <c r="C762" s="92"/>
      <c r="D762" s="92"/>
      <c r="E762" s="92"/>
      <c r="F762" s="92"/>
      <c r="G762" s="92"/>
      <c r="H762" s="92"/>
      <c r="I762" s="92"/>
      <c r="J762" s="93"/>
      <c r="K762" s="93"/>
      <c r="L762" s="90"/>
      <c r="M762" s="90"/>
      <c r="N762" s="90"/>
      <c r="Q762" s="10"/>
    </row>
    <row r="763" spans="3:17" ht="12.75">
      <c r="C763" s="92"/>
      <c r="D763" s="92"/>
      <c r="E763" s="92"/>
      <c r="F763" s="92"/>
      <c r="G763" s="92"/>
      <c r="H763" s="92"/>
      <c r="I763" s="92"/>
      <c r="J763" s="93"/>
      <c r="K763" s="93"/>
      <c r="L763" s="90"/>
      <c r="M763" s="90"/>
      <c r="N763" s="90"/>
      <c r="Q763" s="10"/>
    </row>
    <row r="764" spans="3:17" ht="12.75">
      <c r="C764" s="92"/>
      <c r="D764" s="92"/>
      <c r="E764" s="92"/>
      <c r="F764" s="92"/>
      <c r="G764" s="92"/>
      <c r="H764" s="92"/>
      <c r="I764" s="92"/>
      <c r="J764" s="93"/>
      <c r="K764" s="93"/>
      <c r="L764" s="90"/>
      <c r="M764" s="90"/>
      <c r="N764" s="90"/>
      <c r="Q764" s="10"/>
    </row>
    <row r="765" spans="3:17" ht="12.75">
      <c r="C765" s="92"/>
      <c r="D765" s="92"/>
      <c r="E765" s="92"/>
      <c r="F765" s="92"/>
      <c r="G765" s="92"/>
      <c r="H765" s="92"/>
      <c r="I765" s="92"/>
      <c r="J765" s="93"/>
      <c r="K765" s="93"/>
      <c r="L765" s="90"/>
      <c r="M765" s="90"/>
      <c r="N765" s="90"/>
      <c r="Q765" s="10"/>
    </row>
    <row r="766" spans="3:17" ht="12.75">
      <c r="C766" s="92"/>
      <c r="D766" s="92"/>
      <c r="E766" s="92"/>
      <c r="F766" s="92"/>
      <c r="G766" s="92"/>
      <c r="H766" s="92"/>
      <c r="I766" s="92"/>
      <c r="J766" s="93"/>
      <c r="K766" s="93"/>
      <c r="L766" s="90"/>
      <c r="M766" s="90"/>
      <c r="N766" s="90"/>
      <c r="Q766" s="10"/>
    </row>
    <row r="767" spans="3:17" ht="12.75">
      <c r="C767" s="92"/>
      <c r="D767" s="92"/>
      <c r="E767" s="92"/>
      <c r="F767" s="92"/>
      <c r="G767" s="92"/>
      <c r="H767" s="92"/>
      <c r="I767" s="92"/>
      <c r="J767" s="93"/>
      <c r="K767" s="93"/>
      <c r="L767" s="90"/>
      <c r="M767" s="90"/>
      <c r="N767" s="90"/>
      <c r="Q767" s="10"/>
    </row>
    <row r="768" spans="3:17" ht="12.75">
      <c r="C768" s="92"/>
      <c r="D768" s="92"/>
      <c r="E768" s="92"/>
      <c r="F768" s="92"/>
      <c r="G768" s="92"/>
      <c r="H768" s="92"/>
      <c r="I768" s="92"/>
      <c r="J768" s="93"/>
      <c r="K768" s="93"/>
      <c r="L768" s="90"/>
      <c r="M768" s="90"/>
      <c r="N768" s="90"/>
      <c r="Q768" s="10"/>
    </row>
    <row r="769" spans="3:17" ht="12.75">
      <c r="C769" s="92"/>
      <c r="D769" s="92"/>
      <c r="E769" s="92"/>
      <c r="F769" s="92"/>
      <c r="G769" s="92"/>
      <c r="H769" s="92"/>
      <c r="I769" s="92"/>
      <c r="J769" s="93"/>
      <c r="K769" s="93"/>
      <c r="L769" s="90"/>
      <c r="M769" s="90"/>
      <c r="N769" s="90"/>
      <c r="Q769" s="10"/>
    </row>
    <row r="770" spans="3:17" ht="12.75">
      <c r="C770" s="92"/>
      <c r="D770" s="92"/>
      <c r="E770" s="92"/>
      <c r="F770" s="92"/>
      <c r="G770" s="92"/>
      <c r="H770" s="92"/>
      <c r="I770" s="92"/>
      <c r="J770" s="93"/>
      <c r="K770" s="93"/>
      <c r="L770" s="90"/>
      <c r="M770" s="90"/>
      <c r="N770" s="90"/>
      <c r="Q770" s="10"/>
    </row>
    <row r="771" spans="3:17" ht="12.75">
      <c r="C771" s="92"/>
      <c r="D771" s="92"/>
      <c r="E771" s="92"/>
      <c r="F771" s="92"/>
      <c r="G771" s="92"/>
      <c r="H771" s="92"/>
      <c r="I771" s="92"/>
      <c r="J771" s="93"/>
      <c r="K771" s="93"/>
      <c r="L771" s="90"/>
      <c r="M771" s="90"/>
      <c r="N771" s="90"/>
      <c r="Q771" s="10"/>
    </row>
    <row r="772" spans="3:17" ht="12.75">
      <c r="C772" s="92"/>
      <c r="D772" s="92"/>
      <c r="E772" s="92"/>
      <c r="F772" s="92"/>
      <c r="G772" s="92"/>
      <c r="H772" s="92"/>
      <c r="I772" s="92"/>
      <c r="J772" s="93"/>
      <c r="K772" s="93"/>
      <c r="L772" s="90"/>
      <c r="M772" s="90"/>
      <c r="N772" s="90"/>
      <c r="Q772" s="10"/>
    </row>
    <row r="773" spans="3:17" ht="12.75">
      <c r="C773" s="92"/>
      <c r="D773" s="92"/>
      <c r="E773" s="92"/>
      <c r="F773" s="92"/>
      <c r="G773" s="92"/>
      <c r="H773" s="92"/>
      <c r="I773" s="92"/>
      <c r="J773" s="93"/>
      <c r="K773" s="93"/>
      <c r="L773" s="90"/>
      <c r="M773" s="90"/>
      <c r="N773" s="90"/>
      <c r="Q773" s="10"/>
    </row>
    <row r="774" spans="3:17" ht="12.75">
      <c r="C774" s="92"/>
      <c r="D774" s="92"/>
      <c r="E774" s="92"/>
      <c r="F774" s="92"/>
      <c r="G774" s="92"/>
      <c r="H774" s="92"/>
      <c r="I774" s="92"/>
      <c r="J774" s="93"/>
      <c r="K774" s="93"/>
      <c r="L774" s="90"/>
      <c r="M774" s="90"/>
      <c r="N774" s="90"/>
      <c r="Q774" s="10"/>
    </row>
    <row r="775" spans="3:17" ht="12.75">
      <c r="C775" s="92"/>
      <c r="D775" s="92"/>
      <c r="E775" s="92"/>
      <c r="F775" s="92"/>
      <c r="G775" s="92"/>
      <c r="H775" s="92"/>
      <c r="I775" s="92"/>
      <c r="J775" s="93"/>
      <c r="K775" s="93"/>
      <c r="L775" s="90"/>
      <c r="M775" s="90"/>
      <c r="N775" s="90"/>
      <c r="Q775" s="10"/>
    </row>
    <row r="776" spans="3:17" ht="12.75">
      <c r="C776" s="92"/>
      <c r="D776" s="92"/>
      <c r="E776" s="92"/>
      <c r="F776" s="92"/>
      <c r="G776" s="92"/>
      <c r="H776" s="92"/>
      <c r="I776" s="92"/>
      <c r="J776" s="93"/>
      <c r="K776" s="93"/>
      <c r="L776" s="90"/>
      <c r="M776" s="90"/>
      <c r="N776" s="90"/>
      <c r="Q776" s="10"/>
    </row>
    <row r="777" spans="3:17" ht="12.75">
      <c r="C777" s="92"/>
      <c r="D777" s="92"/>
      <c r="E777" s="92"/>
      <c r="F777" s="92"/>
      <c r="G777" s="92"/>
      <c r="H777" s="92"/>
      <c r="I777" s="92"/>
      <c r="J777" s="93"/>
      <c r="K777" s="93"/>
      <c r="L777" s="90"/>
      <c r="M777" s="90"/>
      <c r="N777" s="90"/>
      <c r="Q777" s="10"/>
    </row>
    <row r="778" spans="3:17" ht="12.75">
      <c r="C778" s="92"/>
      <c r="D778" s="92"/>
      <c r="E778" s="92"/>
      <c r="F778" s="92"/>
      <c r="G778" s="92"/>
      <c r="H778" s="92"/>
      <c r="I778" s="92"/>
      <c r="J778" s="93"/>
      <c r="K778" s="93"/>
      <c r="L778" s="90"/>
      <c r="M778" s="90"/>
      <c r="N778" s="90"/>
      <c r="Q778" s="10"/>
    </row>
    <row r="779" spans="3:17" ht="12.75">
      <c r="C779" s="92"/>
      <c r="D779" s="92"/>
      <c r="E779" s="92"/>
      <c r="F779" s="92"/>
      <c r="G779" s="92"/>
      <c r="H779" s="92"/>
      <c r="I779" s="92"/>
      <c r="J779" s="93"/>
      <c r="K779" s="93"/>
      <c r="L779" s="90"/>
      <c r="M779" s="90"/>
      <c r="N779" s="90"/>
      <c r="Q779" s="10"/>
    </row>
    <row r="780" spans="3:17" ht="12.75">
      <c r="C780" s="92"/>
      <c r="D780" s="92"/>
      <c r="E780" s="92"/>
      <c r="F780" s="92"/>
      <c r="G780" s="92"/>
      <c r="H780" s="92"/>
      <c r="I780" s="92"/>
      <c r="J780" s="93"/>
      <c r="K780" s="93"/>
      <c r="L780" s="90"/>
      <c r="M780" s="90"/>
      <c r="N780" s="90"/>
      <c r="Q780" s="10"/>
    </row>
    <row r="781" spans="3:17" ht="12.75">
      <c r="C781" s="92"/>
      <c r="D781" s="92"/>
      <c r="E781" s="92"/>
      <c r="F781" s="92"/>
      <c r="G781" s="92"/>
      <c r="H781" s="92"/>
      <c r="I781" s="92"/>
      <c r="J781" s="93"/>
      <c r="K781" s="93"/>
      <c r="L781" s="90"/>
      <c r="M781" s="90"/>
      <c r="N781" s="90"/>
      <c r="Q781" s="10"/>
    </row>
    <row r="782" spans="3:17" ht="12.75">
      <c r="C782" s="92"/>
      <c r="D782" s="92"/>
      <c r="E782" s="92"/>
      <c r="F782" s="92"/>
      <c r="G782" s="92"/>
      <c r="H782" s="92"/>
      <c r="I782" s="92"/>
      <c r="J782" s="93"/>
      <c r="K782" s="93"/>
      <c r="L782" s="90"/>
      <c r="M782" s="90"/>
      <c r="N782" s="90"/>
      <c r="Q782" s="10"/>
    </row>
    <row r="783" spans="3:17" ht="12.75">
      <c r="C783" s="92"/>
      <c r="D783" s="92"/>
      <c r="E783" s="92"/>
      <c r="F783" s="92"/>
      <c r="G783" s="92"/>
      <c r="H783" s="92"/>
      <c r="I783" s="92"/>
      <c r="J783" s="93"/>
      <c r="K783" s="93"/>
      <c r="L783" s="90"/>
      <c r="M783" s="90"/>
      <c r="N783" s="90"/>
      <c r="Q783" s="10"/>
    </row>
    <row r="784" spans="3:17" ht="12.75">
      <c r="C784" s="92"/>
      <c r="D784" s="92"/>
      <c r="E784" s="92"/>
      <c r="F784" s="92"/>
      <c r="G784" s="92"/>
      <c r="H784" s="92"/>
      <c r="I784" s="92"/>
      <c r="J784" s="93"/>
      <c r="K784" s="93"/>
      <c r="L784" s="90"/>
      <c r="M784" s="90"/>
      <c r="N784" s="90"/>
      <c r="Q784" s="10"/>
    </row>
    <row r="785" spans="3:17" ht="12.75">
      <c r="C785" s="92"/>
      <c r="D785" s="92"/>
      <c r="E785" s="92"/>
      <c r="F785" s="92"/>
      <c r="G785" s="92"/>
      <c r="H785" s="92"/>
      <c r="I785" s="92"/>
      <c r="J785" s="93"/>
      <c r="K785" s="93"/>
      <c r="L785" s="90"/>
      <c r="M785" s="90"/>
      <c r="N785" s="90"/>
      <c r="Q785" s="10"/>
    </row>
    <row r="786" spans="3:17" ht="12.75">
      <c r="C786" s="92"/>
      <c r="D786" s="92"/>
      <c r="E786" s="92"/>
      <c r="F786" s="92"/>
      <c r="G786" s="92"/>
      <c r="H786" s="92"/>
      <c r="I786" s="92"/>
      <c r="J786" s="93"/>
      <c r="K786" s="93"/>
      <c r="L786" s="90"/>
      <c r="M786" s="90"/>
      <c r="N786" s="90"/>
      <c r="Q786" s="10"/>
    </row>
    <row r="787" spans="3:17" ht="12.75">
      <c r="C787" s="92"/>
      <c r="D787" s="92"/>
      <c r="E787" s="92"/>
      <c r="F787" s="92"/>
      <c r="G787" s="92"/>
      <c r="H787" s="92"/>
      <c r="I787" s="92"/>
      <c r="J787" s="93"/>
      <c r="K787" s="93"/>
      <c r="L787" s="90"/>
      <c r="M787" s="90"/>
      <c r="N787" s="90"/>
      <c r="Q787" s="10"/>
    </row>
    <row r="788" spans="3:17" ht="12.75">
      <c r="C788" s="92"/>
      <c r="D788" s="92"/>
      <c r="E788" s="92"/>
      <c r="F788" s="92"/>
      <c r="G788" s="92"/>
      <c r="H788" s="92"/>
      <c r="I788" s="92"/>
      <c r="J788" s="93"/>
      <c r="K788" s="93"/>
      <c r="L788" s="90"/>
      <c r="M788" s="90"/>
      <c r="N788" s="90"/>
      <c r="Q788" s="10"/>
    </row>
    <row r="789" spans="3:17" ht="12.75">
      <c r="C789" s="92"/>
      <c r="D789" s="92"/>
      <c r="E789" s="92"/>
      <c r="F789" s="92"/>
      <c r="G789" s="92"/>
      <c r="H789" s="92"/>
      <c r="I789" s="92"/>
      <c r="J789" s="93"/>
      <c r="K789" s="93"/>
      <c r="L789" s="90"/>
      <c r="M789" s="90"/>
      <c r="N789" s="90"/>
      <c r="Q789" s="10"/>
    </row>
    <row r="790" spans="3:17" ht="12.75">
      <c r="C790" s="92"/>
      <c r="D790" s="92"/>
      <c r="E790" s="92"/>
      <c r="F790" s="92"/>
      <c r="G790" s="92"/>
      <c r="H790" s="92"/>
      <c r="I790" s="92"/>
      <c r="J790" s="93"/>
      <c r="K790" s="93"/>
      <c r="L790" s="90"/>
      <c r="M790" s="90"/>
      <c r="N790" s="90"/>
      <c r="Q790" s="10"/>
    </row>
    <row r="791" spans="3:17" ht="12.75">
      <c r="C791" s="92"/>
      <c r="D791" s="92"/>
      <c r="E791" s="92"/>
      <c r="F791" s="92"/>
      <c r="G791" s="92"/>
      <c r="H791" s="92"/>
      <c r="I791" s="92"/>
      <c r="J791" s="93"/>
      <c r="K791" s="93"/>
      <c r="L791" s="90"/>
      <c r="M791" s="90"/>
      <c r="N791" s="90"/>
      <c r="Q791" s="10"/>
    </row>
    <row r="792" spans="3:17" ht="12.75">
      <c r="C792" s="92"/>
      <c r="D792" s="92"/>
      <c r="E792" s="92"/>
      <c r="F792" s="92"/>
      <c r="G792" s="92"/>
      <c r="H792" s="92"/>
      <c r="I792" s="92"/>
      <c r="J792" s="93"/>
      <c r="K792" s="93"/>
      <c r="L792" s="90"/>
      <c r="M792" s="90"/>
      <c r="N792" s="90"/>
      <c r="Q792" s="10"/>
    </row>
    <row r="793" spans="3:17" ht="12.75">
      <c r="C793" s="92"/>
      <c r="D793" s="92"/>
      <c r="E793" s="92"/>
      <c r="F793" s="92"/>
      <c r="G793" s="92"/>
      <c r="H793" s="92"/>
      <c r="I793" s="92"/>
      <c r="J793" s="93"/>
      <c r="K793" s="93"/>
      <c r="L793" s="90"/>
      <c r="M793" s="90"/>
      <c r="N793" s="90"/>
      <c r="Q793" s="10"/>
    </row>
    <row r="794" spans="3:17" ht="12.75">
      <c r="C794" s="92"/>
      <c r="D794" s="92"/>
      <c r="E794" s="92"/>
      <c r="F794" s="92"/>
      <c r="G794" s="92"/>
      <c r="H794" s="92"/>
      <c r="I794" s="92"/>
      <c r="J794" s="93"/>
      <c r="K794" s="93"/>
      <c r="L794" s="90"/>
      <c r="M794" s="90"/>
      <c r="N794" s="90"/>
      <c r="Q794" s="10"/>
    </row>
    <row r="795" spans="3:17" ht="12.75">
      <c r="C795" s="92"/>
      <c r="D795" s="92"/>
      <c r="E795" s="92"/>
      <c r="F795" s="92"/>
      <c r="G795" s="92"/>
      <c r="H795" s="92"/>
      <c r="I795" s="92"/>
      <c r="J795" s="93"/>
      <c r="K795" s="93"/>
      <c r="L795" s="90"/>
      <c r="M795" s="90"/>
      <c r="N795" s="90"/>
      <c r="Q795" s="10"/>
    </row>
    <row r="796" spans="3:17" ht="12.75">
      <c r="C796" s="92"/>
      <c r="D796" s="92"/>
      <c r="E796" s="92"/>
      <c r="F796" s="92"/>
      <c r="G796" s="92"/>
      <c r="H796" s="92"/>
      <c r="I796" s="92"/>
      <c r="J796" s="93"/>
      <c r="K796" s="93"/>
      <c r="L796" s="90"/>
      <c r="M796" s="90"/>
      <c r="N796" s="90"/>
      <c r="Q796" s="10"/>
    </row>
    <row r="797" spans="3:17" ht="12.75">
      <c r="C797" s="92"/>
      <c r="D797" s="92"/>
      <c r="E797" s="92"/>
      <c r="F797" s="92"/>
      <c r="G797" s="92"/>
      <c r="H797" s="92"/>
      <c r="I797" s="92"/>
      <c r="J797" s="93"/>
      <c r="K797" s="93"/>
      <c r="L797" s="90"/>
      <c r="M797" s="90"/>
      <c r="N797" s="90"/>
      <c r="Q797" s="10"/>
    </row>
    <row r="798" spans="3:17" ht="12.75">
      <c r="C798" s="92"/>
      <c r="D798" s="92"/>
      <c r="E798" s="92"/>
      <c r="F798" s="92"/>
      <c r="G798" s="92"/>
      <c r="H798" s="92"/>
      <c r="I798" s="92"/>
      <c r="J798" s="93"/>
      <c r="K798" s="93"/>
      <c r="L798" s="90"/>
      <c r="M798" s="90"/>
      <c r="N798" s="90"/>
      <c r="Q798" s="10"/>
    </row>
    <row r="799" spans="3:17" ht="12.75">
      <c r="C799" s="92"/>
      <c r="D799" s="92"/>
      <c r="E799" s="92"/>
      <c r="F799" s="92"/>
      <c r="G799" s="92"/>
      <c r="H799" s="92"/>
      <c r="I799" s="92"/>
      <c r="J799" s="93"/>
      <c r="K799" s="93"/>
      <c r="L799" s="90"/>
      <c r="M799" s="90"/>
      <c r="N799" s="90"/>
      <c r="Q799" s="10"/>
    </row>
    <row r="800" spans="3:17" ht="12.75">
      <c r="C800" s="92"/>
      <c r="D800" s="92"/>
      <c r="E800" s="92"/>
      <c r="F800" s="92"/>
      <c r="G800" s="92"/>
      <c r="H800" s="92"/>
      <c r="I800" s="92"/>
      <c r="J800" s="93"/>
      <c r="K800" s="93"/>
      <c r="L800" s="90"/>
      <c r="M800" s="90"/>
      <c r="N800" s="90"/>
      <c r="Q800" s="10"/>
    </row>
    <row r="801" spans="3:17" ht="12.75">
      <c r="C801" s="92"/>
      <c r="D801" s="92"/>
      <c r="E801" s="92"/>
      <c r="F801" s="92"/>
      <c r="G801" s="92"/>
      <c r="H801" s="92"/>
      <c r="I801" s="92"/>
      <c r="J801" s="93"/>
      <c r="K801" s="93"/>
      <c r="L801" s="90"/>
      <c r="M801" s="90"/>
      <c r="N801" s="90"/>
      <c r="Q801" s="10"/>
    </row>
    <row r="802" spans="3:17" ht="12.75">
      <c r="C802" s="92"/>
      <c r="D802" s="92"/>
      <c r="E802" s="92"/>
      <c r="F802" s="92"/>
      <c r="G802" s="92"/>
      <c r="H802" s="92"/>
      <c r="I802" s="92"/>
      <c r="J802" s="93"/>
      <c r="K802" s="93"/>
      <c r="L802" s="90"/>
      <c r="M802" s="90"/>
      <c r="N802" s="90"/>
      <c r="Q802" s="10"/>
    </row>
    <row r="803" spans="3:17" ht="12.75">
      <c r="C803" s="92"/>
      <c r="D803" s="92"/>
      <c r="E803" s="92"/>
      <c r="F803" s="92"/>
      <c r="G803" s="92"/>
      <c r="H803" s="92"/>
      <c r="I803" s="92"/>
      <c r="J803" s="93"/>
      <c r="K803" s="93"/>
      <c r="L803" s="90"/>
      <c r="M803" s="90"/>
      <c r="N803" s="90"/>
      <c r="Q803" s="10"/>
    </row>
    <row r="804" spans="3:17" ht="12.75">
      <c r="C804" s="92"/>
      <c r="D804" s="92"/>
      <c r="E804" s="92"/>
      <c r="F804" s="92"/>
      <c r="G804" s="92"/>
      <c r="H804" s="92"/>
      <c r="I804" s="92"/>
      <c r="J804" s="93"/>
      <c r="K804" s="93"/>
      <c r="L804" s="90"/>
      <c r="M804" s="90"/>
      <c r="N804" s="90"/>
      <c r="Q804" s="10"/>
    </row>
    <row r="805" spans="3:17" ht="12.75">
      <c r="C805" s="92"/>
      <c r="D805" s="92"/>
      <c r="E805" s="92"/>
      <c r="F805" s="92"/>
      <c r="G805" s="92"/>
      <c r="H805" s="92"/>
      <c r="I805" s="92"/>
      <c r="J805" s="93"/>
      <c r="K805" s="93"/>
      <c r="L805" s="90"/>
      <c r="M805" s="90"/>
      <c r="N805" s="90"/>
      <c r="Q805" s="10"/>
    </row>
    <row r="806" spans="3:17" ht="12.75">
      <c r="C806" s="92"/>
      <c r="D806" s="92"/>
      <c r="E806" s="92"/>
      <c r="F806" s="92"/>
      <c r="G806" s="92"/>
      <c r="H806" s="92"/>
      <c r="I806" s="92"/>
      <c r="J806" s="93"/>
      <c r="K806" s="93"/>
      <c r="L806" s="90"/>
      <c r="M806" s="90"/>
      <c r="N806" s="90"/>
      <c r="Q806" s="10"/>
    </row>
    <row r="807" spans="3:17" ht="12.75">
      <c r="C807" s="92"/>
      <c r="D807" s="92"/>
      <c r="E807" s="92"/>
      <c r="F807" s="92"/>
      <c r="G807" s="92"/>
      <c r="H807" s="92"/>
      <c r="I807" s="92"/>
      <c r="J807" s="93"/>
      <c r="K807" s="93"/>
      <c r="L807" s="90"/>
      <c r="M807" s="90"/>
      <c r="N807" s="90"/>
      <c r="Q807" s="10"/>
    </row>
    <row r="808" spans="3:17" ht="12.75">
      <c r="C808" s="92"/>
      <c r="D808" s="92"/>
      <c r="E808" s="92"/>
      <c r="F808" s="92"/>
      <c r="G808" s="92"/>
      <c r="H808" s="92"/>
      <c r="I808" s="92"/>
      <c r="J808" s="93"/>
      <c r="K808" s="93"/>
      <c r="L808" s="90"/>
      <c r="M808" s="90"/>
      <c r="N808" s="90"/>
      <c r="Q808" s="10"/>
    </row>
    <row r="809" spans="3:17" ht="12.75">
      <c r="C809" s="92"/>
      <c r="D809" s="92"/>
      <c r="E809" s="92"/>
      <c r="F809" s="92"/>
      <c r="G809" s="92"/>
      <c r="H809" s="92"/>
      <c r="I809" s="92"/>
      <c r="J809" s="93"/>
      <c r="K809" s="93"/>
      <c r="L809" s="90"/>
      <c r="M809" s="90"/>
      <c r="N809" s="90"/>
      <c r="Q809" s="10"/>
    </row>
    <row r="810" spans="3:17" ht="12.75">
      <c r="C810" s="92"/>
      <c r="D810" s="92"/>
      <c r="E810" s="92"/>
      <c r="F810" s="92"/>
      <c r="G810" s="92"/>
      <c r="H810" s="92"/>
      <c r="I810" s="92"/>
      <c r="J810" s="93"/>
      <c r="K810" s="93"/>
      <c r="L810" s="90"/>
      <c r="M810" s="90"/>
      <c r="N810" s="90"/>
      <c r="Q810" s="10"/>
    </row>
    <row r="811" spans="3:17" ht="12.75">
      <c r="C811" s="92"/>
      <c r="D811" s="92"/>
      <c r="E811" s="92"/>
      <c r="F811" s="92"/>
      <c r="G811" s="92"/>
      <c r="H811" s="92"/>
      <c r="I811" s="92"/>
      <c r="J811" s="93"/>
      <c r="K811" s="93"/>
      <c r="L811" s="90"/>
      <c r="M811" s="90"/>
      <c r="N811" s="90"/>
      <c r="Q811" s="10"/>
    </row>
    <row r="812" spans="3:17" ht="12.75">
      <c r="C812" s="92"/>
      <c r="D812" s="92"/>
      <c r="E812" s="92"/>
      <c r="F812" s="92"/>
      <c r="G812" s="92"/>
      <c r="H812" s="92"/>
      <c r="I812" s="92"/>
      <c r="J812" s="93"/>
      <c r="K812" s="93"/>
      <c r="L812" s="90"/>
      <c r="M812" s="90"/>
      <c r="N812" s="90"/>
      <c r="Q812" s="10"/>
    </row>
    <row r="813" spans="3:17" ht="12.75">
      <c r="C813" s="92"/>
      <c r="D813" s="92"/>
      <c r="E813" s="92"/>
      <c r="F813" s="92"/>
      <c r="G813" s="92"/>
      <c r="H813" s="92"/>
      <c r="I813" s="92"/>
      <c r="J813" s="93"/>
      <c r="K813" s="93"/>
      <c r="L813" s="90"/>
      <c r="M813" s="90"/>
      <c r="N813" s="90"/>
      <c r="Q813" s="10"/>
    </row>
    <row r="814" spans="3:17" ht="12.75">
      <c r="C814" s="92"/>
      <c r="D814" s="92"/>
      <c r="E814" s="92"/>
      <c r="F814" s="92"/>
      <c r="G814" s="92"/>
      <c r="H814" s="92"/>
      <c r="I814" s="92"/>
      <c r="J814" s="93"/>
      <c r="K814" s="93"/>
      <c r="L814" s="90"/>
      <c r="M814" s="90"/>
      <c r="N814" s="90"/>
      <c r="Q814" s="10"/>
    </row>
    <row r="815" spans="3:17" ht="12.75">
      <c r="C815" s="92"/>
      <c r="D815" s="92"/>
      <c r="E815" s="92"/>
      <c r="F815" s="92"/>
      <c r="G815" s="92"/>
      <c r="H815" s="92"/>
      <c r="I815" s="92"/>
      <c r="J815" s="93"/>
      <c r="K815" s="93"/>
      <c r="L815" s="90"/>
      <c r="M815" s="90"/>
      <c r="N815" s="90"/>
      <c r="Q815" s="10"/>
    </row>
    <row r="816" spans="3:17" ht="12.75">
      <c r="C816" s="92"/>
      <c r="D816" s="92"/>
      <c r="E816" s="92"/>
      <c r="F816" s="92"/>
      <c r="G816" s="92"/>
      <c r="H816" s="92"/>
      <c r="I816" s="92"/>
      <c r="J816" s="93"/>
      <c r="K816" s="93"/>
      <c r="L816" s="90"/>
      <c r="M816" s="90"/>
      <c r="N816" s="90"/>
      <c r="Q816" s="10"/>
    </row>
    <row r="817" spans="3:17" ht="12.75">
      <c r="C817" s="92"/>
      <c r="D817" s="92"/>
      <c r="E817" s="92"/>
      <c r="F817" s="92"/>
      <c r="G817" s="92"/>
      <c r="H817" s="92"/>
      <c r="I817" s="92"/>
      <c r="J817" s="93"/>
      <c r="K817" s="93"/>
      <c r="L817" s="90"/>
      <c r="M817" s="90"/>
      <c r="N817" s="90"/>
      <c r="Q817" s="10"/>
    </row>
    <row r="818" spans="3:17" ht="12.75">
      <c r="C818" s="92"/>
      <c r="D818" s="92"/>
      <c r="E818" s="92"/>
      <c r="F818" s="92"/>
      <c r="G818" s="92"/>
      <c r="H818" s="92"/>
      <c r="I818" s="92"/>
      <c r="J818" s="93"/>
      <c r="K818" s="93"/>
      <c r="L818" s="90"/>
      <c r="M818" s="90"/>
      <c r="N818" s="90"/>
      <c r="Q818" s="10"/>
    </row>
    <row r="819" spans="3:17" ht="12.75">
      <c r="C819" s="92"/>
      <c r="D819" s="92"/>
      <c r="E819" s="92"/>
      <c r="F819" s="92"/>
      <c r="G819" s="92"/>
      <c r="H819" s="92"/>
      <c r="I819" s="92"/>
      <c r="J819" s="93"/>
      <c r="K819" s="93"/>
      <c r="L819" s="90"/>
      <c r="M819" s="90"/>
      <c r="N819" s="90"/>
      <c r="Q819" s="10"/>
    </row>
    <row r="820" spans="3:17" ht="12.75">
      <c r="C820" s="92"/>
      <c r="D820" s="92"/>
      <c r="E820" s="92"/>
      <c r="F820" s="92"/>
      <c r="G820" s="92"/>
      <c r="H820" s="92"/>
      <c r="I820" s="92"/>
      <c r="J820" s="93"/>
      <c r="K820" s="93"/>
      <c r="L820" s="90"/>
      <c r="M820" s="90"/>
      <c r="N820" s="90"/>
      <c r="Q820" s="10"/>
    </row>
    <row r="821" spans="3:17" ht="12.75">
      <c r="C821" s="92"/>
      <c r="D821" s="92"/>
      <c r="E821" s="92"/>
      <c r="F821" s="92"/>
      <c r="G821" s="92"/>
      <c r="H821" s="92"/>
      <c r="I821" s="92"/>
      <c r="J821" s="93"/>
      <c r="K821" s="93"/>
      <c r="L821" s="90"/>
      <c r="M821" s="90"/>
      <c r="N821" s="90"/>
      <c r="Q821" s="10"/>
    </row>
    <row r="822" spans="3:17" ht="12.75">
      <c r="C822" s="92"/>
      <c r="D822" s="92"/>
      <c r="E822" s="92"/>
      <c r="F822" s="92"/>
      <c r="G822" s="92"/>
      <c r="H822" s="92"/>
      <c r="I822" s="92"/>
      <c r="J822" s="93"/>
      <c r="K822" s="93"/>
      <c r="L822" s="90"/>
      <c r="M822" s="90"/>
      <c r="N822" s="90"/>
      <c r="Q822" s="10"/>
    </row>
    <row r="823" spans="3:17" ht="12.75">
      <c r="C823" s="92"/>
      <c r="D823" s="92"/>
      <c r="E823" s="92"/>
      <c r="F823" s="92"/>
      <c r="G823" s="92"/>
      <c r="H823" s="92"/>
      <c r="I823" s="92"/>
      <c r="J823" s="93"/>
      <c r="K823" s="93"/>
      <c r="L823" s="90"/>
      <c r="M823" s="90"/>
      <c r="N823" s="90"/>
      <c r="Q823" s="10"/>
    </row>
    <row r="824" spans="3:17" ht="12.75">
      <c r="C824" s="92"/>
      <c r="D824" s="92"/>
      <c r="E824" s="92"/>
      <c r="F824" s="92"/>
      <c r="G824" s="92"/>
      <c r="H824" s="92"/>
      <c r="I824" s="92"/>
      <c r="J824" s="93"/>
      <c r="K824" s="93"/>
      <c r="L824" s="90"/>
      <c r="M824" s="90"/>
      <c r="N824" s="90"/>
      <c r="Q824" s="10"/>
    </row>
    <row r="825" spans="3:17" ht="12.75">
      <c r="C825" s="92"/>
      <c r="D825" s="92"/>
      <c r="E825" s="92"/>
      <c r="F825" s="92"/>
      <c r="G825" s="92"/>
      <c r="H825" s="92"/>
      <c r="I825" s="92"/>
      <c r="J825" s="93"/>
      <c r="K825" s="93"/>
      <c r="L825" s="90"/>
      <c r="M825" s="90"/>
      <c r="N825" s="90"/>
      <c r="Q825" s="10"/>
    </row>
    <row r="826" spans="3:17" ht="12.75">
      <c r="C826" s="92"/>
      <c r="D826" s="92"/>
      <c r="E826" s="92"/>
      <c r="F826" s="92"/>
      <c r="G826" s="92"/>
      <c r="H826" s="92"/>
      <c r="I826" s="92"/>
      <c r="J826" s="93"/>
      <c r="K826" s="93"/>
      <c r="L826" s="90"/>
      <c r="M826" s="90"/>
      <c r="N826" s="90"/>
      <c r="Q826" s="10"/>
    </row>
    <row r="827" spans="3:17" ht="12.75">
      <c r="C827" s="92"/>
      <c r="D827" s="92"/>
      <c r="E827" s="92"/>
      <c r="F827" s="92"/>
      <c r="G827" s="92"/>
      <c r="H827" s="92"/>
      <c r="I827" s="92"/>
      <c r="J827" s="93"/>
      <c r="K827" s="93"/>
      <c r="L827" s="90"/>
      <c r="M827" s="90"/>
      <c r="N827" s="90"/>
      <c r="Q827" s="10"/>
    </row>
    <row r="828" spans="3:17" ht="12.75">
      <c r="C828" s="92"/>
      <c r="D828" s="92"/>
      <c r="E828" s="92"/>
      <c r="F828" s="92"/>
      <c r="G828" s="92"/>
      <c r="H828" s="92"/>
      <c r="I828" s="92"/>
      <c r="J828" s="93"/>
      <c r="K828" s="93"/>
      <c r="L828" s="90"/>
      <c r="M828" s="90"/>
      <c r="N828" s="90"/>
      <c r="Q828" s="10"/>
    </row>
    <row r="829" spans="3:17" ht="12.75">
      <c r="C829" s="92"/>
      <c r="D829" s="92"/>
      <c r="E829" s="92"/>
      <c r="F829" s="92"/>
      <c r="G829" s="92"/>
      <c r="H829" s="92"/>
      <c r="I829" s="92"/>
      <c r="J829" s="93"/>
      <c r="K829" s="93"/>
      <c r="L829" s="90"/>
      <c r="M829" s="90"/>
      <c r="N829" s="90"/>
      <c r="Q829" s="10"/>
    </row>
    <row r="830" spans="3:17" ht="12.75">
      <c r="C830" s="92"/>
      <c r="D830" s="92"/>
      <c r="E830" s="92"/>
      <c r="F830" s="92"/>
      <c r="G830" s="92"/>
      <c r="H830" s="92"/>
      <c r="I830" s="92"/>
      <c r="J830" s="93"/>
      <c r="K830" s="93"/>
      <c r="L830" s="90"/>
      <c r="M830" s="90"/>
      <c r="N830" s="90"/>
      <c r="Q830" s="10"/>
    </row>
    <row r="831" spans="3:17" ht="12.75">
      <c r="C831" s="92"/>
      <c r="D831" s="92"/>
      <c r="E831" s="92"/>
      <c r="F831" s="92"/>
      <c r="G831" s="92"/>
      <c r="H831" s="92"/>
      <c r="I831" s="92"/>
      <c r="J831" s="93"/>
      <c r="K831" s="93"/>
      <c r="L831" s="90"/>
      <c r="M831" s="90"/>
      <c r="N831" s="90"/>
      <c r="Q831" s="10"/>
    </row>
    <row r="832" spans="3:17" ht="12.75">
      <c r="C832" s="92"/>
      <c r="D832" s="92"/>
      <c r="E832" s="92"/>
      <c r="F832" s="92"/>
      <c r="G832" s="92"/>
      <c r="H832" s="92"/>
      <c r="I832" s="92"/>
      <c r="J832" s="93"/>
      <c r="K832" s="93"/>
      <c r="L832" s="90"/>
      <c r="M832" s="90"/>
      <c r="N832" s="90"/>
      <c r="Q832" s="10"/>
    </row>
    <row r="833" spans="3:17" ht="12.75">
      <c r="C833" s="92"/>
      <c r="D833" s="92"/>
      <c r="E833" s="92"/>
      <c r="F833" s="92"/>
      <c r="G833" s="92"/>
      <c r="H833" s="92"/>
      <c r="I833" s="92"/>
      <c r="J833" s="93"/>
      <c r="K833" s="93"/>
      <c r="L833" s="90"/>
      <c r="M833" s="90"/>
      <c r="N833" s="90"/>
      <c r="Q833" s="10"/>
    </row>
    <row r="834" spans="3:17" ht="12.75">
      <c r="C834" s="92"/>
      <c r="D834" s="92"/>
      <c r="E834" s="92"/>
      <c r="F834" s="92"/>
      <c r="G834" s="92"/>
      <c r="H834" s="92"/>
      <c r="I834" s="92"/>
      <c r="J834" s="93"/>
      <c r="K834" s="93"/>
      <c r="L834" s="90"/>
      <c r="M834" s="90"/>
      <c r="N834" s="90"/>
      <c r="Q834" s="10"/>
    </row>
    <row r="835" spans="3:17" ht="12.75">
      <c r="C835" s="92"/>
      <c r="D835" s="92"/>
      <c r="E835" s="92"/>
      <c r="F835" s="92"/>
      <c r="G835" s="92"/>
      <c r="H835" s="92"/>
      <c r="I835" s="92"/>
      <c r="J835" s="93"/>
      <c r="K835" s="93"/>
      <c r="L835" s="90"/>
      <c r="M835" s="90"/>
      <c r="N835" s="90"/>
      <c r="Q835" s="10"/>
    </row>
    <row r="836" spans="3:17" ht="12.75">
      <c r="C836" s="92"/>
      <c r="D836" s="92"/>
      <c r="E836" s="92"/>
      <c r="F836" s="92"/>
      <c r="G836" s="92"/>
      <c r="H836" s="92"/>
      <c r="I836" s="92"/>
      <c r="J836" s="93"/>
      <c r="K836" s="93"/>
      <c r="L836" s="90"/>
      <c r="M836" s="90"/>
      <c r="N836" s="90"/>
      <c r="Q836" s="10"/>
    </row>
    <row r="837" spans="3:17" ht="12.75">
      <c r="C837" s="92"/>
      <c r="D837" s="92"/>
      <c r="E837" s="92"/>
      <c r="F837" s="92"/>
      <c r="G837" s="92"/>
      <c r="H837" s="92"/>
      <c r="I837" s="92"/>
      <c r="J837" s="93"/>
      <c r="K837" s="93"/>
      <c r="L837" s="90"/>
      <c r="M837" s="90"/>
      <c r="N837" s="90"/>
      <c r="Q837" s="10"/>
    </row>
    <row r="838" spans="3:17" ht="12.75">
      <c r="C838" s="92"/>
      <c r="D838" s="92"/>
      <c r="E838" s="92"/>
      <c r="F838" s="92"/>
      <c r="G838" s="92"/>
      <c r="H838" s="92"/>
      <c r="I838" s="92"/>
      <c r="J838" s="93"/>
      <c r="K838" s="93"/>
      <c r="L838" s="90"/>
      <c r="M838" s="90"/>
      <c r="N838" s="90"/>
      <c r="Q838" s="10"/>
    </row>
    <row r="839" spans="3:17" ht="12.75">
      <c r="C839" s="92"/>
      <c r="D839" s="92"/>
      <c r="E839" s="92"/>
      <c r="F839" s="92"/>
      <c r="G839" s="92"/>
      <c r="H839" s="92"/>
      <c r="I839" s="92"/>
      <c r="J839" s="93"/>
      <c r="K839" s="93"/>
      <c r="L839" s="90"/>
      <c r="M839" s="90"/>
      <c r="N839" s="90"/>
      <c r="Q839" s="10"/>
    </row>
    <row r="840" spans="3:17" ht="12.75">
      <c r="C840" s="92"/>
      <c r="D840" s="92"/>
      <c r="E840" s="92"/>
      <c r="F840" s="92"/>
      <c r="G840" s="92"/>
      <c r="H840" s="92"/>
      <c r="I840" s="92"/>
      <c r="J840" s="93"/>
      <c r="K840" s="93"/>
      <c r="L840" s="90"/>
      <c r="M840" s="90"/>
      <c r="N840" s="90"/>
      <c r="Q840" s="10"/>
    </row>
    <row r="841" spans="3:17" ht="12.75">
      <c r="C841" s="92"/>
      <c r="D841" s="92"/>
      <c r="E841" s="92"/>
      <c r="F841" s="92"/>
      <c r="G841" s="92"/>
      <c r="H841" s="92"/>
      <c r="I841" s="92"/>
      <c r="J841" s="93"/>
      <c r="K841" s="93"/>
      <c r="L841" s="90"/>
      <c r="M841" s="90"/>
      <c r="N841" s="90"/>
      <c r="Q841" s="10"/>
    </row>
    <row r="842" spans="3:17" ht="12.75">
      <c r="C842" s="92"/>
      <c r="D842" s="92"/>
      <c r="E842" s="92"/>
      <c r="F842" s="92"/>
      <c r="G842" s="92"/>
      <c r="H842" s="92"/>
      <c r="I842" s="92"/>
      <c r="J842" s="93"/>
      <c r="K842" s="93"/>
      <c r="L842" s="90"/>
      <c r="M842" s="90"/>
      <c r="N842" s="90"/>
      <c r="Q842" s="10"/>
    </row>
    <row r="843" spans="3:17" ht="12.75">
      <c r="C843" s="92"/>
      <c r="D843" s="92"/>
      <c r="E843" s="92"/>
      <c r="F843" s="92"/>
      <c r="G843" s="92"/>
      <c r="H843" s="92"/>
      <c r="I843" s="92"/>
      <c r="J843" s="93"/>
      <c r="K843" s="93"/>
      <c r="L843" s="90"/>
      <c r="M843" s="90"/>
      <c r="N843" s="90"/>
      <c r="Q843" s="10"/>
    </row>
    <row r="844" spans="3:17" ht="12.75">
      <c r="C844" s="92"/>
      <c r="D844" s="92"/>
      <c r="E844" s="92"/>
      <c r="F844" s="92"/>
      <c r="G844" s="92"/>
      <c r="H844" s="92"/>
      <c r="I844" s="92"/>
      <c r="J844" s="93"/>
      <c r="K844" s="93"/>
      <c r="L844" s="90"/>
      <c r="M844" s="90"/>
      <c r="N844" s="90"/>
      <c r="Q844" s="10"/>
    </row>
    <row r="845" spans="3:17" ht="12.75">
      <c r="C845" s="92"/>
      <c r="D845" s="92"/>
      <c r="E845" s="92"/>
      <c r="F845" s="92"/>
      <c r="G845" s="92"/>
      <c r="H845" s="92"/>
      <c r="I845" s="92"/>
      <c r="J845" s="93"/>
      <c r="K845" s="93"/>
      <c r="L845" s="90"/>
      <c r="M845" s="90"/>
      <c r="N845" s="90"/>
      <c r="Q845" s="10"/>
    </row>
    <row r="846" spans="3:17" ht="12.75">
      <c r="C846" s="92"/>
      <c r="D846" s="92"/>
      <c r="E846" s="92"/>
      <c r="F846" s="92"/>
      <c r="G846" s="92"/>
      <c r="H846" s="92"/>
      <c r="I846" s="92"/>
      <c r="J846" s="93"/>
      <c r="K846" s="93"/>
      <c r="L846" s="90"/>
      <c r="M846" s="90"/>
      <c r="N846" s="90"/>
      <c r="Q846" s="10"/>
    </row>
    <row r="847" spans="3:17" ht="12.75">
      <c r="C847" s="92"/>
      <c r="D847" s="92"/>
      <c r="E847" s="92"/>
      <c r="F847" s="92"/>
      <c r="G847" s="92"/>
      <c r="H847" s="92"/>
      <c r="I847" s="92"/>
      <c r="J847" s="93"/>
      <c r="K847" s="93"/>
      <c r="L847" s="90"/>
      <c r="M847" s="90"/>
      <c r="N847" s="90"/>
      <c r="Q847" s="10"/>
    </row>
    <row r="848" spans="3:17" ht="12.75">
      <c r="C848" s="92"/>
      <c r="D848" s="92"/>
      <c r="E848" s="92"/>
      <c r="F848" s="92"/>
      <c r="G848" s="92"/>
      <c r="H848" s="92"/>
      <c r="I848" s="92"/>
      <c r="J848" s="93"/>
      <c r="K848" s="93"/>
      <c r="L848" s="90"/>
      <c r="M848" s="90"/>
      <c r="N848" s="90"/>
      <c r="Q848" s="10"/>
    </row>
    <row r="849" spans="3:17" ht="12.75">
      <c r="C849" s="92"/>
      <c r="D849" s="92"/>
      <c r="E849" s="92"/>
      <c r="F849" s="92"/>
      <c r="G849" s="92"/>
      <c r="H849" s="92"/>
      <c r="I849" s="92"/>
      <c r="J849" s="93"/>
      <c r="K849" s="93"/>
      <c r="L849" s="90"/>
      <c r="M849" s="90"/>
      <c r="N849" s="90"/>
      <c r="Q849" s="10"/>
    </row>
    <row r="850" spans="3:17" ht="12.75">
      <c r="C850" s="92"/>
      <c r="D850" s="92"/>
      <c r="E850" s="92"/>
      <c r="F850" s="92"/>
      <c r="G850" s="92"/>
      <c r="H850" s="92"/>
      <c r="I850" s="92"/>
      <c r="J850" s="93"/>
      <c r="K850" s="93"/>
      <c r="L850" s="90"/>
      <c r="M850" s="90"/>
      <c r="N850" s="90"/>
      <c r="Q850" s="10"/>
    </row>
    <row r="851" spans="3:17" ht="12.75">
      <c r="C851" s="92"/>
      <c r="D851" s="92"/>
      <c r="E851" s="92"/>
      <c r="F851" s="92"/>
      <c r="G851" s="92"/>
      <c r="H851" s="92"/>
      <c r="I851" s="92"/>
      <c r="J851" s="93"/>
      <c r="K851" s="93"/>
      <c r="L851" s="90"/>
      <c r="M851" s="90"/>
      <c r="N851" s="90"/>
      <c r="Q851" s="10"/>
    </row>
    <row r="852" spans="3:17" ht="12.75">
      <c r="C852" s="92"/>
      <c r="D852" s="92"/>
      <c r="E852" s="92"/>
      <c r="F852" s="92"/>
      <c r="G852" s="92"/>
      <c r="H852" s="92"/>
      <c r="I852" s="92"/>
      <c r="J852" s="93"/>
      <c r="K852" s="93"/>
      <c r="L852" s="90"/>
      <c r="M852" s="90"/>
      <c r="N852" s="90"/>
      <c r="Q852" s="10"/>
    </row>
    <row r="853" spans="3:17" ht="12.75">
      <c r="C853" s="92"/>
      <c r="D853" s="92"/>
      <c r="E853" s="92"/>
      <c r="F853" s="92"/>
      <c r="G853" s="92"/>
      <c r="H853" s="92"/>
      <c r="I853" s="92"/>
      <c r="J853" s="93"/>
      <c r="K853" s="93"/>
      <c r="L853" s="90"/>
      <c r="M853" s="90"/>
      <c r="N853" s="90"/>
      <c r="Q853" s="10"/>
    </row>
    <row r="854" spans="3:17" ht="12.75">
      <c r="C854" s="92"/>
      <c r="D854" s="92"/>
      <c r="E854" s="92"/>
      <c r="F854" s="92"/>
      <c r="G854" s="92"/>
      <c r="H854" s="92"/>
      <c r="I854" s="92"/>
      <c r="J854" s="93"/>
      <c r="K854" s="93"/>
      <c r="L854" s="90"/>
      <c r="M854" s="90"/>
      <c r="N854" s="90"/>
      <c r="Q854" s="10"/>
    </row>
    <row r="855" spans="3:17" ht="12.75">
      <c r="C855" s="92"/>
      <c r="D855" s="92"/>
      <c r="E855" s="92"/>
      <c r="F855" s="92"/>
      <c r="G855" s="92"/>
      <c r="H855" s="92"/>
      <c r="I855" s="92"/>
      <c r="J855" s="93"/>
      <c r="K855" s="93"/>
      <c r="L855" s="90"/>
      <c r="M855" s="90"/>
      <c r="N855" s="90"/>
      <c r="Q855" s="10"/>
    </row>
    <row r="856" spans="3:17" ht="12.75">
      <c r="C856" s="92"/>
      <c r="D856" s="92"/>
      <c r="E856" s="92"/>
      <c r="F856" s="92"/>
      <c r="G856" s="92"/>
      <c r="H856" s="92"/>
      <c r="I856" s="92"/>
      <c r="J856" s="93"/>
      <c r="K856" s="93"/>
      <c r="L856" s="90"/>
      <c r="M856" s="90"/>
      <c r="N856" s="90"/>
      <c r="Q856" s="10"/>
    </row>
    <row r="857" spans="3:17" ht="12.75">
      <c r="C857" s="92"/>
      <c r="D857" s="92"/>
      <c r="E857" s="92"/>
      <c r="F857" s="92"/>
      <c r="G857" s="92"/>
      <c r="H857" s="92"/>
      <c r="I857" s="92"/>
      <c r="J857" s="93"/>
      <c r="K857" s="93"/>
      <c r="L857" s="90"/>
      <c r="M857" s="90"/>
      <c r="N857" s="90"/>
      <c r="Q857" s="10"/>
    </row>
    <row r="858" spans="3:17" ht="12.75">
      <c r="C858" s="92"/>
      <c r="D858" s="92"/>
      <c r="E858" s="92"/>
      <c r="F858" s="92"/>
      <c r="G858" s="92"/>
      <c r="H858" s="92"/>
      <c r="I858" s="92"/>
      <c r="J858" s="93"/>
      <c r="K858" s="93"/>
      <c r="L858" s="90"/>
      <c r="M858" s="90"/>
      <c r="N858" s="90"/>
      <c r="Q858" s="10"/>
    </row>
    <row r="859" spans="3:17" ht="12.75">
      <c r="C859" s="92"/>
      <c r="D859" s="92"/>
      <c r="E859" s="92"/>
      <c r="F859" s="92"/>
      <c r="G859" s="92"/>
      <c r="H859" s="92"/>
      <c r="I859" s="92"/>
      <c r="J859" s="93"/>
      <c r="K859" s="93"/>
      <c r="L859" s="90"/>
      <c r="M859" s="90"/>
      <c r="N859" s="90"/>
      <c r="Q859" s="10"/>
    </row>
    <row r="860" spans="3:17" ht="12.75">
      <c r="C860" s="92"/>
      <c r="D860" s="92"/>
      <c r="E860" s="92"/>
      <c r="F860" s="92"/>
      <c r="G860" s="92"/>
      <c r="H860" s="92"/>
      <c r="I860" s="92"/>
      <c r="J860" s="93"/>
      <c r="K860" s="93"/>
      <c r="L860" s="90"/>
      <c r="M860" s="90"/>
      <c r="N860" s="90"/>
      <c r="Q860" s="10"/>
    </row>
    <row r="861" spans="3:17" ht="12.75">
      <c r="C861" s="92"/>
      <c r="D861" s="92"/>
      <c r="E861" s="92"/>
      <c r="F861" s="92"/>
      <c r="G861" s="92"/>
      <c r="H861" s="92"/>
      <c r="I861" s="92"/>
      <c r="J861" s="93"/>
      <c r="K861" s="93"/>
      <c r="L861" s="90"/>
      <c r="M861" s="90"/>
      <c r="N861" s="90"/>
      <c r="Q861" s="10"/>
    </row>
    <row r="862" spans="3:17" ht="12.75">
      <c r="C862" s="92"/>
      <c r="D862" s="92"/>
      <c r="E862" s="92"/>
      <c r="F862" s="92"/>
      <c r="G862" s="92"/>
      <c r="H862" s="92"/>
      <c r="I862" s="92"/>
      <c r="J862" s="93"/>
      <c r="K862" s="93"/>
      <c r="L862" s="90"/>
      <c r="M862" s="90"/>
      <c r="N862" s="90"/>
      <c r="Q862" s="10"/>
    </row>
    <row r="863" spans="3:17" ht="12.75">
      <c r="C863" s="92"/>
      <c r="D863" s="92"/>
      <c r="E863" s="92"/>
      <c r="F863" s="92"/>
      <c r="G863" s="92"/>
      <c r="H863" s="92"/>
      <c r="I863" s="92"/>
      <c r="J863" s="93"/>
      <c r="K863" s="93"/>
      <c r="L863" s="90"/>
      <c r="M863" s="90"/>
      <c r="N863" s="90"/>
      <c r="Q863" s="10"/>
    </row>
    <row r="864" spans="3:17" ht="12.75">
      <c r="C864" s="92"/>
      <c r="D864" s="92"/>
      <c r="E864" s="92"/>
      <c r="F864" s="92"/>
      <c r="G864" s="92"/>
      <c r="H864" s="92"/>
      <c r="I864" s="92"/>
      <c r="J864" s="93"/>
      <c r="K864" s="93"/>
      <c r="L864" s="90"/>
      <c r="M864" s="90"/>
      <c r="N864" s="90"/>
      <c r="Q864" s="10"/>
    </row>
    <row r="865" spans="3:17" ht="12.75">
      <c r="C865" s="92"/>
      <c r="D865" s="92"/>
      <c r="E865" s="92"/>
      <c r="F865" s="92"/>
      <c r="G865" s="92"/>
      <c r="H865" s="92"/>
      <c r="I865" s="92"/>
      <c r="J865" s="93"/>
      <c r="K865" s="93"/>
      <c r="L865" s="90"/>
      <c r="M865" s="90"/>
      <c r="N865" s="90"/>
      <c r="Q865" s="10"/>
    </row>
    <row r="866" spans="3:17" ht="12.75">
      <c r="C866" s="92"/>
      <c r="D866" s="92"/>
      <c r="E866" s="92"/>
      <c r="F866" s="92"/>
      <c r="G866" s="92"/>
      <c r="H866" s="92"/>
      <c r="I866" s="92"/>
      <c r="J866" s="93"/>
      <c r="K866" s="93"/>
      <c r="L866" s="90"/>
      <c r="M866" s="90"/>
      <c r="N866" s="90"/>
      <c r="Q866" s="10"/>
    </row>
    <row r="867" spans="3:17" ht="12.75">
      <c r="C867" s="92"/>
      <c r="D867" s="92"/>
      <c r="E867" s="92"/>
      <c r="F867" s="92"/>
      <c r="G867" s="92"/>
      <c r="H867" s="92"/>
      <c r="I867" s="92"/>
      <c r="J867" s="93"/>
      <c r="K867" s="93"/>
      <c r="L867" s="90"/>
      <c r="M867" s="90"/>
      <c r="N867" s="90"/>
      <c r="Q867" s="10"/>
    </row>
    <row r="868" spans="3:17" ht="12.75">
      <c r="C868" s="92"/>
      <c r="D868" s="92"/>
      <c r="E868" s="92"/>
      <c r="F868" s="92"/>
      <c r="G868" s="92"/>
      <c r="H868" s="92"/>
      <c r="I868" s="92"/>
      <c r="J868" s="93"/>
      <c r="K868" s="93"/>
      <c r="L868" s="90"/>
      <c r="M868" s="90"/>
      <c r="N868" s="90"/>
      <c r="Q868" s="10"/>
    </row>
    <row r="869" spans="3:17" ht="12.75">
      <c r="C869" s="92"/>
      <c r="D869" s="92"/>
      <c r="E869" s="92"/>
      <c r="F869" s="92"/>
      <c r="G869" s="92"/>
      <c r="H869" s="92"/>
      <c r="I869" s="92"/>
      <c r="J869" s="93"/>
      <c r="K869" s="93"/>
      <c r="L869" s="90"/>
      <c r="M869" s="90"/>
      <c r="N869" s="90"/>
      <c r="Q869" s="10"/>
    </row>
    <row r="870" spans="3:17" ht="12.75">
      <c r="C870" s="92"/>
      <c r="D870" s="92"/>
      <c r="E870" s="92"/>
      <c r="F870" s="92"/>
      <c r="G870" s="92"/>
      <c r="H870" s="92"/>
      <c r="I870" s="92"/>
      <c r="J870" s="93"/>
      <c r="K870" s="93"/>
      <c r="L870" s="90"/>
      <c r="M870" s="90"/>
      <c r="N870" s="90"/>
      <c r="Q870" s="10"/>
    </row>
    <row r="871" spans="3:17" ht="12.75">
      <c r="C871" s="92"/>
      <c r="D871" s="92"/>
      <c r="E871" s="92"/>
      <c r="F871" s="92"/>
      <c r="G871" s="92"/>
      <c r="H871" s="92"/>
      <c r="I871" s="92"/>
      <c r="J871" s="93"/>
      <c r="K871" s="93"/>
      <c r="L871" s="90"/>
      <c r="M871" s="90"/>
      <c r="N871" s="90"/>
      <c r="Q871" s="10"/>
    </row>
    <row r="872" spans="3:17" ht="12.75">
      <c r="C872" s="92"/>
      <c r="D872" s="92"/>
      <c r="E872" s="92"/>
      <c r="F872" s="92"/>
      <c r="G872" s="92"/>
      <c r="H872" s="92"/>
      <c r="I872" s="92"/>
      <c r="J872" s="93"/>
      <c r="K872" s="93"/>
      <c r="L872" s="90"/>
      <c r="M872" s="90"/>
      <c r="N872" s="90"/>
      <c r="Q872" s="10"/>
    </row>
    <row r="873" spans="3:17" ht="12.75">
      <c r="C873" s="92"/>
      <c r="D873" s="92"/>
      <c r="E873" s="92"/>
      <c r="F873" s="92"/>
      <c r="G873" s="92"/>
      <c r="H873" s="92"/>
      <c r="I873" s="92"/>
      <c r="J873" s="93"/>
      <c r="K873" s="93"/>
      <c r="L873" s="90"/>
      <c r="M873" s="90"/>
      <c r="N873" s="90"/>
      <c r="Q873" s="10"/>
    </row>
    <row r="874" spans="3:17" ht="12.75">
      <c r="C874" s="92"/>
      <c r="D874" s="92"/>
      <c r="E874" s="92"/>
      <c r="F874" s="92"/>
      <c r="G874" s="92"/>
      <c r="H874" s="92"/>
      <c r="I874" s="92"/>
      <c r="J874" s="93"/>
      <c r="K874" s="93"/>
      <c r="L874" s="90"/>
      <c r="M874" s="90"/>
      <c r="N874" s="90"/>
      <c r="Q874" s="10"/>
    </row>
    <row r="875" spans="3:17" ht="12.75">
      <c r="C875" s="92"/>
      <c r="D875" s="92"/>
      <c r="E875" s="92"/>
      <c r="F875" s="92"/>
      <c r="G875" s="92"/>
      <c r="H875" s="92"/>
      <c r="I875" s="92"/>
      <c r="J875" s="93"/>
      <c r="K875" s="93"/>
      <c r="L875" s="90"/>
      <c r="M875" s="90"/>
      <c r="N875" s="90"/>
      <c r="Q875" s="10"/>
    </row>
    <row r="876" spans="3:17" ht="12.75">
      <c r="C876" s="92"/>
      <c r="D876" s="92"/>
      <c r="E876" s="92"/>
      <c r="F876" s="92"/>
      <c r="G876" s="92"/>
      <c r="H876" s="92"/>
      <c r="I876" s="92"/>
      <c r="J876" s="93"/>
      <c r="K876" s="93"/>
      <c r="L876" s="90"/>
      <c r="M876" s="90"/>
      <c r="N876" s="90"/>
      <c r="Q876" s="10"/>
    </row>
    <row r="877" spans="3:17" ht="12.75">
      <c r="C877" s="92"/>
      <c r="D877" s="92"/>
      <c r="E877" s="92"/>
      <c r="F877" s="92"/>
      <c r="G877" s="92"/>
      <c r="H877" s="92"/>
      <c r="I877" s="92"/>
      <c r="J877" s="93"/>
      <c r="K877" s="93"/>
      <c r="L877" s="90"/>
      <c r="M877" s="90"/>
      <c r="N877" s="90"/>
      <c r="Q877" s="10"/>
    </row>
    <row r="878" spans="3:17" ht="12.75">
      <c r="C878" s="92"/>
      <c r="D878" s="92"/>
      <c r="E878" s="92"/>
      <c r="F878" s="92"/>
      <c r="G878" s="92"/>
      <c r="H878" s="92"/>
      <c r="I878" s="92"/>
      <c r="J878" s="93"/>
      <c r="K878" s="93"/>
      <c r="L878" s="90"/>
      <c r="M878" s="90"/>
      <c r="N878" s="90"/>
      <c r="Q878" s="10"/>
    </row>
    <row r="879" spans="3:17" ht="12.75">
      <c r="C879" s="92"/>
      <c r="D879" s="92"/>
      <c r="E879" s="92"/>
      <c r="F879" s="92"/>
      <c r="G879" s="92"/>
      <c r="H879" s="92"/>
      <c r="I879" s="92"/>
      <c r="J879" s="93"/>
      <c r="K879" s="93"/>
      <c r="L879" s="90"/>
      <c r="M879" s="90"/>
      <c r="N879" s="90"/>
      <c r="Q879" s="10"/>
    </row>
    <row r="880" spans="3:17" ht="12.75">
      <c r="C880" s="92"/>
      <c r="D880" s="92"/>
      <c r="E880" s="92"/>
      <c r="F880" s="92"/>
      <c r="G880" s="92"/>
      <c r="H880" s="92"/>
      <c r="I880" s="92"/>
      <c r="J880" s="93"/>
      <c r="K880" s="93"/>
      <c r="L880" s="90"/>
      <c r="M880" s="90"/>
      <c r="N880" s="90"/>
      <c r="Q880" s="10"/>
    </row>
    <row r="881" spans="3:17" ht="12.75">
      <c r="C881" s="92"/>
      <c r="D881" s="92"/>
      <c r="E881" s="92"/>
      <c r="F881" s="92"/>
      <c r="G881" s="92"/>
      <c r="H881" s="92"/>
      <c r="I881" s="92"/>
      <c r="J881" s="93"/>
      <c r="K881" s="93"/>
      <c r="L881" s="90"/>
      <c r="M881" s="90"/>
      <c r="N881" s="90"/>
      <c r="Q881" s="10"/>
    </row>
    <row r="882" spans="3:17" ht="12.75">
      <c r="C882" s="92"/>
      <c r="D882" s="92"/>
      <c r="E882" s="92"/>
      <c r="F882" s="92"/>
      <c r="G882" s="92"/>
      <c r="H882" s="92"/>
      <c r="I882" s="92"/>
      <c r="J882" s="93"/>
      <c r="K882" s="93"/>
      <c r="L882" s="90"/>
      <c r="M882" s="90"/>
      <c r="N882" s="90"/>
      <c r="Q882" s="10"/>
    </row>
    <row r="883" spans="3:17" ht="12.75">
      <c r="C883" s="92"/>
      <c r="D883" s="92"/>
      <c r="E883" s="92"/>
      <c r="F883" s="92"/>
      <c r="G883" s="92"/>
      <c r="H883" s="92"/>
      <c r="I883" s="92"/>
      <c r="J883" s="93"/>
      <c r="K883" s="93"/>
      <c r="L883" s="90"/>
      <c r="M883" s="90"/>
      <c r="N883" s="90"/>
      <c r="Q883" s="10"/>
    </row>
    <row r="884" spans="3:17" ht="12.75">
      <c r="C884" s="92"/>
      <c r="D884" s="92"/>
      <c r="E884" s="92"/>
      <c r="F884" s="92"/>
      <c r="G884" s="92"/>
      <c r="H884" s="92"/>
      <c r="I884" s="92"/>
      <c r="J884" s="93"/>
      <c r="K884" s="93"/>
      <c r="L884" s="90"/>
      <c r="M884" s="90"/>
      <c r="N884" s="90"/>
      <c r="Q884" s="10"/>
    </row>
    <row r="885" spans="3:17" ht="12.75">
      <c r="C885" s="92"/>
      <c r="D885" s="92"/>
      <c r="E885" s="92"/>
      <c r="F885" s="92"/>
      <c r="G885" s="92"/>
      <c r="H885" s="92"/>
      <c r="I885" s="92"/>
      <c r="J885" s="93"/>
      <c r="K885" s="93"/>
      <c r="L885" s="90"/>
      <c r="M885" s="90"/>
      <c r="N885" s="90"/>
      <c r="Q885" s="10"/>
    </row>
    <row r="886" spans="3:17" ht="12.75">
      <c r="C886" s="92"/>
      <c r="D886" s="92"/>
      <c r="E886" s="92"/>
      <c r="F886" s="92"/>
      <c r="G886" s="92"/>
      <c r="H886" s="92"/>
      <c r="I886" s="92"/>
      <c r="J886" s="93"/>
      <c r="K886" s="93"/>
      <c r="L886" s="90"/>
      <c r="M886" s="90"/>
      <c r="N886" s="90"/>
      <c r="Q886" s="10"/>
    </row>
    <row r="887" spans="3:17" ht="12.75">
      <c r="C887" s="92"/>
      <c r="D887" s="92"/>
      <c r="E887" s="92"/>
      <c r="F887" s="92"/>
      <c r="G887" s="92"/>
      <c r="H887" s="92"/>
      <c r="I887" s="92"/>
      <c r="J887" s="93"/>
      <c r="K887" s="93"/>
      <c r="L887" s="90"/>
      <c r="M887" s="90"/>
      <c r="N887" s="90"/>
      <c r="Q887" s="10"/>
    </row>
    <row r="888" spans="3:17" ht="12.75">
      <c r="C888" s="92"/>
      <c r="D888" s="92"/>
      <c r="E888" s="92"/>
      <c r="F888" s="92"/>
      <c r="G888" s="92"/>
      <c r="H888" s="92"/>
      <c r="I888" s="92"/>
      <c r="J888" s="93"/>
      <c r="K888" s="93"/>
      <c r="L888" s="90"/>
      <c r="M888" s="90"/>
      <c r="N888" s="90"/>
      <c r="Q888" s="10"/>
    </row>
    <row r="889" spans="3:17" ht="12.75">
      <c r="C889" s="92"/>
      <c r="D889" s="92"/>
      <c r="E889" s="92"/>
      <c r="F889" s="92"/>
      <c r="G889" s="92"/>
      <c r="H889" s="92"/>
      <c r="I889" s="92"/>
      <c r="J889" s="93"/>
      <c r="K889" s="93"/>
      <c r="L889" s="90"/>
      <c r="M889" s="90"/>
      <c r="N889" s="90"/>
      <c r="Q889" s="10"/>
    </row>
    <row r="890" spans="3:17" ht="12.75">
      <c r="C890" s="92"/>
      <c r="D890" s="92"/>
      <c r="E890" s="92"/>
      <c r="F890" s="92"/>
      <c r="G890" s="92"/>
      <c r="H890" s="92"/>
      <c r="I890" s="92"/>
      <c r="J890" s="93"/>
      <c r="K890" s="93"/>
      <c r="L890" s="90"/>
      <c r="M890" s="90"/>
      <c r="N890" s="90"/>
      <c r="Q890" s="10"/>
    </row>
    <row r="891" spans="3:17" ht="12.75">
      <c r="C891" s="92"/>
      <c r="D891" s="92"/>
      <c r="E891" s="92"/>
      <c r="F891" s="92"/>
      <c r="G891" s="92"/>
      <c r="H891" s="92"/>
      <c r="I891" s="92"/>
      <c r="J891" s="93"/>
      <c r="K891" s="93"/>
      <c r="L891" s="90"/>
      <c r="M891" s="90"/>
      <c r="N891" s="90"/>
      <c r="Q891" s="10"/>
    </row>
    <row r="892" spans="3:17" ht="12.75">
      <c r="C892" s="92"/>
      <c r="D892" s="92"/>
      <c r="E892" s="92"/>
      <c r="F892" s="92"/>
      <c r="G892" s="92"/>
      <c r="H892" s="92"/>
      <c r="I892" s="92"/>
      <c r="J892" s="93"/>
      <c r="K892" s="93"/>
      <c r="L892" s="90"/>
      <c r="M892" s="90"/>
      <c r="N892" s="90"/>
      <c r="Q892" s="10"/>
    </row>
    <row r="893" spans="3:17" ht="12.75">
      <c r="C893" s="92"/>
      <c r="D893" s="92"/>
      <c r="E893" s="92"/>
      <c r="F893" s="92"/>
      <c r="G893" s="92"/>
      <c r="H893" s="92"/>
      <c r="I893" s="92"/>
      <c r="J893" s="93"/>
      <c r="K893" s="93"/>
      <c r="L893" s="90"/>
      <c r="M893" s="90"/>
      <c r="N893" s="90"/>
      <c r="Q893" s="10"/>
    </row>
    <row r="894" spans="3:17" ht="12.75">
      <c r="C894" s="92"/>
      <c r="D894" s="92"/>
      <c r="E894" s="92"/>
      <c r="F894" s="92"/>
      <c r="G894" s="92"/>
      <c r="H894" s="92"/>
      <c r="I894" s="92"/>
      <c r="J894" s="93"/>
      <c r="K894" s="93"/>
      <c r="L894" s="90"/>
      <c r="M894" s="90"/>
      <c r="N894" s="90"/>
      <c r="Q894" s="10"/>
    </row>
    <row r="895" spans="3:17" ht="12.75">
      <c r="C895" s="92"/>
      <c r="D895" s="92"/>
      <c r="E895" s="92"/>
      <c r="F895" s="92"/>
      <c r="G895" s="92"/>
      <c r="H895" s="92"/>
      <c r="I895" s="92"/>
      <c r="J895" s="93"/>
      <c r="K895" s="93"/>
      <c r="L895" s="90"/>
      <c r="M895" s="90"/>
      <c r="N895" s="90"/>
      <c r="Q895" s="10"/>
    </row>
    <row r="896" spans="3:17" ht="12.75">
      <c r="C896" s="92"/>
      <c r="D896" s="92"/>
      <c r="E896" s="92"/>
      <c r="F896" s="92"/>
      <c r="G896" s="92"/>
      <c r="H896" s="92"/>
      <c r="I896" s="92"/>
      <c r="J896" s="93"/>
      <c r="K896" s="93"/>
      <c r="L896" s="90"/>
      <c r="M896" s="90"/>
      <c r="N896" s="90"/>
      <c r="Q896" s="10"/>
    </row>
    <row r="897" spans="3:17" ht="12.75">
      <c r="C897" s="92"/>
      <c r="D897" s="92"/>
      <c r="E897" s="92"/>
      <c r="F897" s="92"/>
      <c r="G897" s="92"/>
      <c r="H897" s="92"/>
      <c r="I897" s="92"/>
      <c r="J897" s="93"/>
      <c r="K897" s="93"/>
      <c r="L897" s="90"/>
      <c r="M897" s="90"/>
      <c r="N897" s="90"/>
      <c r="Q897" s="10"/>
    </row>
    <row r="898" spans="3:17" ht="12.75">
      <c r="C898" s="92"/>
      <c r="D898" s="92"/>
      <c r="E898" s="92"/>
      <c r="F898" s="92"/>
      <c r="G898" s="92"/>
      <c r="H898" s="92"/>
      <c r="I898" s="92"/>
      <c r="J898" s="93"/>
      <c r="K898" s="93"/>
      <c r="L898" s="90"/>
      <c r="M898" s="90"/>
      <c r="N898" s="90"/>
      <c r="Q898" s="10"/>
    </row>
    <row r="899" spans="3:17" ht="12.75">
      <c r="C899" s="92"/>
      <c r="D899" s="92"/>
      <c r="E899" s="92"/>
      <c r="F899" s="92"/>
      <c r="G899" s="92"/>
      <c r="H899" s="92"/>
      <c r="I899" s="92"/>
      <c r="J899" s="93"/>
      <c r="K899" s="93"/>
      <c r="L899" s="90"/>
      <c r="M899" s="90"/>
      <c r="N899" s="90"/>
      <c r="Q899" s="10"/>
    </row>
    <row r="900" spans="3:17" ht="12.75">
      <c r="C900" s="92"/>
      <c r="D900" s="92"/>
      <c r="E900" s="92"/>
      <c r="F900" s="92"/>
      <c r="G900" s="92"/>
      <c r="H900" s="92"/>
      <c r="I900" s="92"/>
      <c r="J900" s="93"/>
      <c r="K900" s="93"/>
      <c r="L900" s="90"/>
      <c r="M900" s="90"/>
      <c r="N900" s="90"/>
      <c r="Q900" s="10"/>
    </row>
    <row r="901" spans="3:17" ht="12.75">
      <c r="C901" s="92"/>
      <c r="D901" s="92"/>
      <c r="E901" s="92"/>
      <c r="F901" s="92"/>
      <c r="G901" s="92"/>
      <c r="H901" s="92"/>
      <c r="I901" s="92"/>
      <c r="J901" s="93"/>
      <c r="K901" s="93"/>
      <c r="L901" s="90"/>
      <c r="M901" s="90"/>
      <c r="N901" s="90"/>
      <c r="Q901" s="10"/>
    </row>
    <row r="902" spans="3:17" ht="12.75">
      <c r="C902" s="92"/>
      <c r="D902" s="92"/>
      <c r="E902" s="92"/>
      <c r="F902" s="92"/>
      <c r="G902" s="92"/>
      <c r="H902" s="92"/>
      <c r="I902" s="92"/>
      <c r="J902" s="93"/>
      <c r="K902" s="93"/>
      <c r="L902" s="90"/>
      <c r="M902" s="90"/>
      <c r="N902" s="90"/>
      <c r="Q902" s="10"/>
    </row>
    <row r="903" spans="3:17" ht="12.75">
      <c r="C903" s="92"/>
      <c r="D903" s="92"/>
      <c r="E903" s="92"/>
      <c r="F903" s="92"/>
      <c r="G903" s="92"/>
      <c r="H903" s="92"/>
      <c r="I903" s="92"/>
      <c r="J903" s="93"/>
      <c r="K903" s="93"/>
      <c r="L903" s="90"/>
      <c r="M903" s="90"/>
      <c r="N903" s="90"/>
      <c r="Q903" s="10"/>
    </row>
    <row r="904" spans="3:17" ht="12.75">
      <c r="C904" s="92"/>
      <c r="D904" s="92"/>
      <c r="E904" s="92"/>
      <c r="F904" s="92"/>
      <c r="G904" s="92"/>
      <c r="H904" s="92"/>
      <c r="I904" s="92"/>
      <c r="J904" s="93"/>
      <c r="K904" s="93"/>
      <c r="L904" s="90"/>
      <c r="M904" s="90"/>
      <c r="N904" s="90"/>
      <c r="Q904" s="10"/>
    </row>
    <row r="905" spans="3:17" ht="12.75">
      <c r="C905" s="92"/>
      <c r="D905" s="92"/>
      <c r="E905" s="92"/>
      <c r="F905" s="92"/>
      <c r="G905" s="92"/>
      <c r="H905" s="92"/>
      <c r="I905" s="92"/>
      <c r="J905" s="93"/>
      <c r="K905" s="93"/>
      <c r="L905" s="90"/>
      <c r="M905" s="90"/>
      <c r="N905" s="90"/>
      <c r="Q905" s="10"/>
    </row>
    <row r="906" spans="3:17" ht="12.75">
      <c r="C906" s="92"/>
      <c r="D906" s="92"/>
      <c r="E906" s="92"/>
      <c r="F906" s="92"/>
      <c r="G906" s="92"/>
      <c r="H906" s="92"/>
      <c r="I906" s="92"/>
      <c r="J906" s="93"/>
      <c r="K906" s="93"/>
      <c r="L906" s="90"/>
      <c r="M906" s="90"/>
      <c r="N906" s="90"/>
      <c r="Q906" s="10"/>
    </row>
    <row r="907" spans="3:17" ht="12.75">
      <c r="C907" s="92"/>
      <c r="D907" s="92"/>
      <c r="E907" s="92"/>
      <c r="F907" s="92"/>
      <c r="G907" s="92"/>
      <c r="H907" s="92"/>
      <c r="I907" s="92"/>
      <c r="J907" s="93"/>
      <c r="K907" s="93"/>
      <c r="L907" s="90"/>
      <c r="M907" s="90"/>
      <c r="N907" s="90"/>
      <c r="Q907" s="10"/>
    </row>
    <row r="908" spans="3:17" ht="12.75">
      <c r="C908" s="92"/>
      <c r="D908" s="92"/>
      <c r="E908" s="92"/>
      <c r="F908" s="92"/>
      <c r="G908" s="92"/>
      <c r="H908" s="92"/>
      <c r="I908" s="92"/>
      <c r="J908" s="93"/>
      <c r="K908" s="93"/>
      <c r="L908" s="90"/>
      <c r="M908" s="90"/>
      <c r="N908" s="90"/>
      <c r="Q908" s="10"/>
    </row>
    <row r="909" spans="3:17" ht="12.75">
      <c r="C909" s="92"/>
      <c r="D909" s="92"/>
      <c r="E909" s="92"/>
      <c r="F909" s="92"/>
      <c r="G909" s="92"/>
      <c r="H909" s="92"/>
      <c r="I909" s="92"/>
      <c r="J909" s="93"/>
      <c r="K909" s="93"/>
      <c r="L909" s="90"/>
      <c r="M909" s="90"/>
      <c r="N909" s="90"/>
      <c r="Q909" s="10"/>
    </row>
    <row r="910" spans="3:17" ht="12.75">
      <c r="C910" s="92"/>
      <c r="D910" s="92"/>
      <c r="E910" s="92"/>
      <c r="F910" s="92"/>
      <c r="G910" s="92"/>
      <c r="H910" s="92"/>
      <c r="I910" s="92"/>
      <c r="J910" s="93"/>
      <c r="K910" s="93"/>
      <c r="L910" s="90"/>
      <c r="M910" s="90"/>
      <c r="N910" s="90"/>
      <c r="Q910" s="10"/>
    </row>
    <row r="911" spans="3:17" ht="12.75">
      <c r="C911" s="92"/>
      <c r="D911" s="92"/>
      <c r="E911" s="92"/>
      <c r="F911" s="92"/>
      <c r="G911" s="92"/>
      <c r="H911" s="92"/>
      <c r="I911" s="92"/>
      <c r="J911" s="93"/>
      <c r="K911" s="93"/>
      <c r="L911" s="90"/>
      <c r="M911" s="90"/>
      <c r="N911" s="90"/>
      <c r="Q911" s="10"/>
    </row>
    <row r="912" spans="3:17" ht="12.75">
      <c r="C912" s="92"/>
      <c r="D912" s="92"/>
      <c r="E912" s="92"/>
      <c r="F912" s="92"/>
      <c r="G912" s="92"/>
      <c r="H912" s="92"/>
      <c r="I912" s="92"/>
      <c r="J912" s="93"/>
      <c r="K912" s="93"/>
      <c r="L912" s="90"/>
      <c r="M912" s="90"/>
      <c r="N912" s="90"/>
      <c r="Q912" s="10"/>
    </row>
    <row r="913" spans="3:17" ht="12.75">
      <c r="C913" s="92"/>
      <c r="D913" s="92"/>
      <c r="E913" s="92"/>
      <c r="F913" s="92"/>
      <c r="G913" s="92"/>
      <c r="H913" s="92"/>
      <c r="I913" s="92"/>
      <c r="J913" s="93"/>
      <c r="K913" s="93"/>
      <c r="L913" s="90"/>
      <c r="M913" s="90"/>
      <c r="N913" s="90"/>
      <c r="Q913" s="10"/>
    </row>
    <row r="914" spans="3:17" ht="12.75">
      <c r="C914" s="92"/>
      <c r="D914" s="92"/>
      <c r="E914" s="92"/>
      <c r="F914" s="92"/>
      <c r="G914" s="92"/>
      <c r="H914" s="92"/>
      <c r="I914" s="92"/>
      <c r="J914" s="93"/>
      <c r="K914" s="93"/>
      <c r="L914" s="90"/>
      <c r="M914" s="90"/>
      <c r="N914" s="90"/>
      <c r="Q914" s="10"/>
    </row>
    <row r="915" spans="3:17" ht="12.75">
      <c r="C915" s="92"/>
      <c r="D915" s="92"/>
      <c r="E915" s="92"/>
      <c r="F915" s="92"/>
      <c r="G915" s="92"/>
      <c r="H915" s="92"/>
      <c r="I915" s="92"/>
      <c r="J915" s="93"/>
      <c r="K915" s="93"/>
      <c r="L915" s="90"/>
      <c r="M915" s="90"/>
      <c r="N915" s="90"/>
      <c r="Q915" s="10"/>
    </row>
    <row r="916" spans="3:17" ht="12.75">
      <c r="C916" s="92"/>
      <c r="D916" s="92"/>
      <c r="E916" s="92"/>
      <c r="F916" s="92"/>
      <c r="G916" s="92"/>
      <c r="H916" s="92"/>
      <c r="I916" s="92"/>
      <c r="J916" s="93"/>
      <c r="K916" s="93"/>
      <c r="L916" s="90"/>
      <c r="M916" s="90"/>
      <c r="N916" s="90"/>
      <c r="Q916" s="10"/>
    </row>
    <row r="917" spans="3:17" ht="12.75">
      <c r="C917" s="92"/>
      <c r="D917" s="92"/>
      <c r="E917" s="92"/>
      <c r="F917" s="92"/>
      <c r="G917" s="92"/>
      <c r="H917" s="92"/>
      <c r="I917" s="92"/>
      <c r="J917" s="93"/>
      <c r="K917" s="93"/>
      <c r="L917" s="90"/>
      <c r="M917" s="90"/>
      <c r="N917" s="90"/>
      <c r="Q917" s="10"/>
    </row>
    <row r="918" spans="3:17" ht="12.75">
      <c r="C918" s="92"/>
      <c r="D918" s="92"/>
      <c r="E918" s="92"/>
      <c r="F918" s="92"/>
      <c r="G918" s="92"/>
      <c r="H918" s="92"/>
      <c r="I918" s="92"/>
      <c r="J918" s="93"/>
      <c r="K918" s="93"/>
      <c r="L918" s="90"/>
      <c r="M918" s="90"/>
      <c r="N918" s="90"/>
      <c r="Q918" s="10"/>
    </row>
    <row r="919" spans="3:17" ht="12.75">
      <c r="C919" s="92"/>
      <c r="D919" s="92"/>
      <c r="E919" s="92"/>
      <c r="F919" s="92"/>
      <c r="G919" s="92"/>
      <c r="H919" s="92"/>
      <c r="I919" s="92"/>
      <c r="J919" s="93"/>
      <c r="K919" s="93"/>
      <c r="L919" s="90"/>
      <c r="M919" s="90"/>
      <c r="N919" s="90"/>
      <c r="Q919" s="10"/>
    </row>
    <row r="920" spans="3:17" ht="12.75">
      <c r="C920" s="92"/>
      <c r="D920" s="92"/>
      <c r="E920" s="92"/>
      <c r="F920" s="92"/>
      <c r="G920" s="92"/>
      <c r="H920" s="92"/>
      <c r="I920" s="92"/>
      <c r="J920" s="93"/>
      <c r="K920" s="93"/>
      <c r="L920" s="90"/>
      <c r="M920" s="90"/>
      <c r="N920" s="90"/>
      <c r="Q920" s="10"/>
    </row>
    <row r="921" spans="3:17" ht="12.75">
      <c r="C921" s="92"/>
      <c r="D921" s="92"/>
      <c r="E921" s="92"/>
      <c r="F921" s="92"/>
      <c r="G921" s="92"/>
      <c r="H921" s="92"/>
      <c r="I921" s="92"/>
      <c r="J921" s="93"/>
      <c r="K921" s="93"/>
      <c r="L921" s="90"/>
      <c r="M921" s="90"/>
      <c r="N921" s="90"/>
      <c r="Q921" s="10"/>
    </row>
    <row r="922" spans="3:17" ht="12.75">
      <c r="C922" s="92"/>
      <c r="D922" s="92"/>
      <c r="E922" s="92"/>
      <c r="F922" s="92"/>
      <c r="G922" s="92"/>
      <c r="H922" s="92"/>
      <c r="I922" s="92"/>
      <c r="J922" s="93"/>
      <c r="K922" s="93"/>
      <c r="L922" s="90"/>
      <c r="M922" s="90"/>
      <c r="N922" s="90"/>
      <c r="Q922" s="10"/>
    </row>
    <row r="923" spans="3:17" ht="12.75">
      <c r="C923" s="92"/>
      <c r="D923" s="92"/>
      <c r="E923" s="92"/>
      <c r="F923" s="92"/>
      <c r="G923" s="92"/>
      <c r="H923" s="92"/>
      <c r="I923" s="92"/>
      <c r="J923" s="93"/>
      <c r="K923" s="93"/>
      <c r="L923" s="90"/>
      <c r="M923" s="90"/>
      <c r="N923" s="90"/>
      <c r="Q923" s="10"/>
    </row>
    <row r="924" spans="3:17" ht="12.75">
      <c r="C924" s="92"/>
      <c r="D924" s="92"/>
      <c r="E924" s="92"/>
      <c r="F924" s="92"/>
      <c r="G924" s="92"/>
      <c r="H924" s="92"/>
      <c r="I924" s="92"/>
      <c r="J924" s="93"/>
      <c r="K924" s="93"/>
      <c r="L924" s="90"/>
      <c r="M924" s="90"/>
      <c r="N924" s="90"/>
      <c r="Q924" s="10"/>
    </row>
    <row r="925" spans="3:17" ht="12.75">
      <c r="C925" s="92"/>
      <c r="D925" s="92"/>
      <c r="E925" s="92"/>
      <c r="F925" s="92"/>
      <c r="G925" s="92"/>
      <c r="H925" s="92"/>
      <c r="I925" s="92"/>
      <c r="J925" s="93"/>
      <c r="K925" s="93"/>
      <c r="L925" s="90"/>
      <c r="M925" s="90"/>
      <c r="N925" s="90"/>
      <c r="Q925" s="10"/>
    </row>
    <row r="926" spans="3:17" ht="12.75">
      <c r="C926" s="92"/>
      <c r="D926" s="92"/>
      <c r="E926" s="92"/>
      <c r="F926" s="92"/>
      <c r="G926" s="92"/>
      <c r="H926" s="92"/>
      <c r="I926" s="92"/>
      <c r="J926" s="93"/>
      <c r="K926" s="93"/>
      <c r="L926" s="90"/>
      <c r="M926" s="90"/>
      <c r="N926" s="90"/>
      <c r="Q926" s="10"/>
    </row>
    <row r="927" spans="3:17" ht="12.75">
      <c r="C927" s="92"/>
      <c r="D927" s="92"/>
      <c r="E927" s="92"/>
      <c r="F927" s="92"/>
      <c r="G927" s="92"/>
      <c r="H927" s="92"/>
      <c r="I927" s="92"/>
      <c r="J927" s="93"/>
      <c r="K927" s="93"/>
      <c r="L927" s="90"/>
      <c r="M927" s="90"/>
      <c r="N927" s="90"/>
      <c r="Q927" s="10"/>
    </row>
    <row r="928" spans="3:17" ht="12.75">
      <c r="C928" s="92"/>
      <c r="D928" s="92"/>
      <c r="E928" s="92"/>
      <c r="F928" s="92"/>
      <c r="G928" s="92"/>
      <c r="H928" s="92"/>
      <c r="I928" s="92"/>
      <c r="J928" s="93"/>
      <c r="K928" s="93"/>
      <c r="L928" s="90"/>
      <c r="M928" s="90"/>
      <c r="N928" s="90"/>
      <c r="Q928" s="10"/>
    </row>
    <row r="929" spans="3:17" ht="12.75">
      <c r="C929" s="92"/>
      <c r="D929" s="92"/>
      <c r="E929" s="92"/>
      <c r="F929" s="92"/>
      <c r="G929" s="92"/>
      <c r="H929" s="92"/>
      <c r="I929" s="92"/>
      <c r="J929" s="93"/>
      <c r="K929" s="93"/>
      <c r="L929" s="90"/>
      <c r="M929" s="90"/>
      <c r="N929" s="90"/>
      <c r="Q929" s="10"/>
    </row>
    <row r="930" spans="3:17" ht="12.75">
      <c r="C930" s="92"/>
      <c r="D930" s="92"/>
      <c r="E930" s="92"/>
      <c r="F930" s="92"/>
      <c r="G930" s="92"/>
      <c r="H930" s="92"/>
      <c r="I930" s="92"/>
      <c r="J930" s="93"/>
      <c r="K930" s="93"/>
      <c r="L930" s="90"/>
      <c r="M930" s="90"/>
      <c r="N930" s="90"/>
      <c r="Q930" s="10"/>
    </row>
    <row r="931" spans="3:17" ht="12.75">
      <c r="C931" s="92"/>
      <c r="D931" s="92"/>
      <c r="E931" s="92"/>
      <c r="F931" s="92"/>
      <c r="G931" s="92"/>
      <c r="H931" s="92"/>
      <c r="I931" s="92"/>
      <c r="J931" s="93"/>
      <c r="K931" s="93"/>
      <c r="L931" s="90"/>
      <c r="M931" s="90"/>
      <c r="N931" s="90"/>
      <c r="Q931" s="10"/>
    </row>
    <row r="932" spans="3:17" ht="12.75">
      <c r="C932" s="92"/>
      <c r="D932" s="92"/>
      <c r="E932" s="92"/>
      <c r="F932" s="92"/>
      <c r="G932" s="92"/>
      <c r="H932" s="92"/>
      <c r="I932" s="92"/>
      <c r="J932" s="93"/>
      <c r="K932" s="93"/>
      <c r="L932" s="90"/>
      <c r="M932" s="90"/>
      <c r="N932" s="90"/>
      <c r="Q932" s="10"/>
    </row>
    <row r="933" spans="3:17" ht="12.75">
      <c r="C933" s="92"/>
      <c r="D933" s="92"/>
      <c r="E933" s="92"/>
      <c r="F933" s="92"/>
      <c r="G933" s="92"/>
      <c r="H933" s="92"/>
      <c r="I933" s="92"/>
      <c r="J933" s="93"/>
      <c r="K933" s="93"/>
      <c r="L933" s="90"/>
      <c r="M933" s="90"/>
      <c r="N933" s="90"/>
      <c r="Q933" s="10"/>
    </row>
    <row r="934" spans="3:17" ht="12.75">
      <c r="C934" s="92"/>
      <c r="D934" s="92"/>
      <c r="E934" s="92"/>
      <c r="F934" s="92"/>
      <c r="G934" s="92"/>
      <c r="H934" s="92"/>
      <c r="I934" s="92"/>
      <c r="J934" s="93"/>
      <c r="K934" s="93"/>
      <c r="L934" s="90"/>
      <c r="M934" s="90"/>
      <c r="N934" s="90"/>
      <c r="Q934" s="10"/>
    </row>
    <row r="935" spans="3:17" ht="12.75">
      <c r="C935" s="92"/>
      <c r="D935" s="92"/>
      <c r="E935" s="92"/>
      <c r="F935" s="92"/>
      <c r="G935" s="92"/>
      <c r="H935" s="92"/>
      <c r="I935" s="92"/>
      <c r="J935" s="93"/>
      <c r="K935" s="93"/>
      <c r="L935" s="90"/>
      <c r="M935" s="90"/>
      <c r="N935" s="90"/>
      <c r="Q935" s="10"/>
    </row>
    <row r="936" spans="3:17" ht="12.75">
      <c r="C936" s="92"/>
      <c r="D936" s="92"/>
      <c r="E936" s="92"/>
      <c r="F936" s="92"/>
      <c r="G936" s="92"/>
      <c r="H936" s="92"/>
      <c r="I936" s="92"/>
      <c r="J936" s="93"/>
      <c r="K936" s="93"/>
      <c r="L936" s="90"/>
      <c r="M936" s="90"/>
      <c r="N936" s="90"/>
      <c r="Q936" s="10"/>
    </row>
    <row r="937" spans="3:17" ht="12.75">
      <c r="C937" s="92"/>
      <c r="D937" s="92"/>
      <c r="E937" s="92"/>
      <c r="F937" s="92"/>
      <c r="G937" s="92"/>
      <c r="H937" s="92"/>
      <c r="I937" s="92"/>
      <c r="J937" s="93"/>
      <c r="K937" s="93"/>
      <c r="L937" s="90"/>
      <c r="M937" s="90"/>
      <c r="N937" s="90"/>
      <c r="Q937" s="10"/>
    </row>
    <row r="938" spans="3:17" ht="12.75">
      <c r="C938" s="92"/>
      <c r="D938" s="92"/>
      <c r="E938" s="92"/>
      <c r="F938" s="92"/>
      <c r="G938" s="92"/>
      <c r="H938" s="92"/>
      <c r="I938" s="92"/>
      <c r="J938" s="93"/>
      <c r="K938" s="93"/>
      <c r="L938" s="90"/>
      <c r="M938" s="90"/>
      <c r="N938" s="90"/>
      <c r="Q938" s="10"/>
    </row>
    <row r="939" spans="3:17" ht="12.75">
      <c r="C939" s="92"/>
      <c r="D939" s="92"/>
      <c r="E939" s="92"/>
      <c r="F939" s="92"/>
      <c r="G939" s="92"/>
      <c r="H939" s="92"/>
      <c r="I939" s="92"/>
      <c r="J939" s="93"/>
      <c r="K939" s="93"/>
      <c r="L939" s="90"/>
      <c r="M939" s="90"/>
      <c r="N939" s="90"/>
      <c r="Q939" s="10"/>
    </row>
    <row r="940" spans="3:17" ht="12.75">
      <c r="C940" s="92"/>
      <c r="D940" s="92"/>
      <c r="E940" s="92"/>
      <c r="F940" s="92"/>
      <c r="G940" s="92"/>
      <c r="H940" s="92"/>
      <c r="I940" s="92"/>
      <c r="J940" s="93"/>
      <c r="K940" s="93"/>
      <c r="L940" s="90"/>
      <c r="M940" s="90"/>
      <c r="N940" s="90"/>
      <c r="Q940" s="10"/>
    </row>
    <row r="941" spans="3:17" ht="12.75">
      <c r="C941" s="92"/>
      <c r="D941" s="92"/>
      <c r="E941" s="92"/>
      <c r="F941" s="92"/>
      <c r="G941" s="92"/>
      <c r="H941" s="92"/>
      <c r="I941" s="92"/>
      <c r="J941" s="93"/>
      <c r="K941" s="93"/>
      <c r="L941" s="90"/>
      <c r="M941" s="90"/>
      <c r="N941" s="90"/>
      <c r="Q941" s="10"/>
    </row>
    <row r="942" spans="3:17" ht="12.75">
      <c r="C942" s="92"/>
      <c r="D942" s="92"/>
      <c r="E942" s="92"/>
      <c r="F942" s="92"/>
      <c r="G942" s="92"/>
      <c r="H942" s="92"/>
      <c r="I942" s="92"/>
      <c r="J942" s="93"/>
      <c r="K942" s="93"/>
      <c r="L942" s="90"/>
      <c r="M942" s="90"/>
      <c r="N942" s="90"/>
      <c r="Q942" s="10"/>
    </row>
    <row r="943" spans="3:17" ht="12.75">
      <c r="C943" s="92"/>
      <c r="D943" s="92"/>
      <c r="E943" s="92"/>
      <c r="F943" s="92"/>
      <c r="G943" s="92"/>
      <c r="H943" s="92"/>
      <c r="I943" s="92"/>
      <c r="J943" s="93"/>
      <c r="K943" s="93"/>
      <c r="L943" s="90"/>
      <c r="M943" s="90"/>
      <c r="N943" s="90"/>
      <c r="Q943" s="10"/>
    </row>
    <row r="944" spans="3:17" ht="12.75">
      <c r="C944" s="92"/>
      <c r="D944" s="92"/>
      <c r="E944" s="92"/>
      <c r="F944" s="92"/>
      <c r="G944" s="92"/>
      <c r="H944" s="92"/>
      <c r="I944" s="92"/>
      <c r="J944" s="93"/>
      <c r="K944" s="93"/>
      <c r="L944" s="90"/>
      <c r="M944" s="90"/>
      <c r="N944" s="90"/>
      <c r="Q944" s="10"/>
    </row>
    <row r="945" spans="3:17" ht="12.75">
      <c r="C945" s="92"/>
      <c r="D945" s="92"/>
      <c r="E945" s="92"/>
      <c r="F945" s="92"/>
      <c r="G945" s="92"/>
      <c r="H945" s="92"/>
      <c r="I945" s="92"/>
      <c r="J945" s="93"/>
      <c r="K945" s="93"/>
      <c r="L945" s="90"/>
      <c r="M945" s="90"/>
      <c r="N945" s="90"/>
      <c r="Q945" s="10"/>
    </row>
    <row r="946" spans="3:17" ht="12.75">
      <c r="C946" s="92"/>
      <c r="D946" s="92"/>
      <c r="E946" s="92"/>
      <c r="F946" s="92"/>
      <c r="G946" s="92"/>
      <c r="H946" s="92"/>
      <c r="I946" s="92"/>
      <c r="J946" s="93"/>
      <c r="K946" s="93"/>
      <c r="L946" s="90"/>
      <c r="M946" s="90"/>
      <c r="N946" s="90"/>
      <c r="Q946" s="10"/>
    </row>
    <row r="947" spans="3:17" ht="12.75">
      <c r="C947" s="92"/>
      <c r="D947" s="92"/>
      <c r="E947" s="92"/>
      <c r="F947" s="92"/>
      <c r="G947" s="92"/>
      <c r="H947" s="92"/>
      <c r="I947" s="92"/>
      <c r="J947" s="93"/>
      <c r="K947" s="93"/>
      <c r="L947" s="90"/>
      <c r="M947" s="90"/>
      <c r="N947" s="90"/>
      <c r="Q947" s="10"/>
    </row>
    <row r="948" spans="3:17" ht="12.75">
      <c r="C948" s="92"/>
      <c r="D948" s="92"/>
      <c r="E948" s="92"/>
      <c r="F948" s="92"/>
      <c r="G948" s="92"/>
      <c r="H948" s="92"/>
      <c r="I948" s="92"/>
      <c r="J948" s="93"/>
      <c r="K948" s="93"/>
      <c r="L948" s="90"/>
      <c r="M948" s="90"/>
      <c r="N948" s="90"/>
      <c r="Q948" s="10"/>
    </row>
    <row r="949" spans="3:17" ht="12.75">
      <c r="C949" s="92"/>
      <c r="D949" s="92"/>
      <c r="E949" s="92"/>
      <c r="F949" s="92"/>
      <c r="G949" s="92"/>
      <c r="H949" s="92"/>
      <c r="I949" s="92"/>
      <c r="J949" s="93"/>
      <c r="K949" s="93"/>
      <c r="L949" s="90"/>
      <c r="M949" s="90"/>
      <c r="N949" s="90"/>
      <c r="Q949" s="10"/>
    </row>
    <row r="950" spans="3:17" ht="12.75">
      <c r="C950" s="92"/>
      <c r="D950" s="92"/>
      <c r="E950" s="92"/>
      <c r="F950" s="92"/>
      <c r="G950" s="92"/>
      <c r="H950" s="92"/>
      <c r="I950" s="92"/>
      <c r="J950" s="93"/>
      <c r="K950" s="93"/>
      <c r="L950" s="90"/>
      <c r="M950" s="90"/>
      <c r="N950" s="90"/>
      <c r="Q950" s="10"/>
    </row>
    <row r="951" spans="3:17" ht="12.75">
      <c r="C951" s="92"/>
      <c r="D951" s="92"/>
      <c r="E951" s="92"/>
      <c r="F951" s="92"/>
      <c r="G951" s="92"/>
      <c r="H951" s="92"/>
      <c r="I951" s="92"/>
      <c r="J951" s="93"/>
      <c r="K951" s="93"/>
      <c r="L951" s="90"/>
      <c r="M951" s="90"/>
      <c r="N951" s="90"/>
      <c r="Q951" s="10"/>
    </row>
    <row r="952" spans="3:17" ht="12.75">
      <c r="C952" s="92"/>
      <c r="D952" s="92"/>
      <c r="E952" s="92"/>
      <c r="F952" s="92"/>
      <c r="G952" s="92"/>
      <c r="H952" s="92"/>
      <c r="I952" s="92"/>
      <c r="J952" s="93"/>
      <c r="K952" s="93"/>
      <c r="L952" s="90"/>
      <c r="M952" s="90"/>
      <c r="N952" s="90"/>
      <c r="Q952" s="10"/>
    </row>
    <row r="953" spans="3:17" ht="12.75">
      <c r="C953" s="92"/>
      <c r="D953" s="92"/>
      <c r="E953" s="92"/>
      <c r="F953" s="92"/>
      <c r="G953" s="92"/>
      <c r="H953" s="92"/>
      <c r="I953" s="92"/>
      <c r="J953" s="93"/>
      <c r="K953" s="93"/>
      <c r="L953" s="90"/>
      <c r="M953" s="90"/>
      <c r="N953" s="90"/>
      <c r="Q953" s="10"/>
    </row>
    <row r="954" spans="3:17" ht="12.75">
      <c r="C954" s="92"/>
      <c r="D954" s="92"/>
      <c r="E954" s="92"/>
      <c r="F954" s="92"/>
      <c r="G954" s="92"/>
      <c r="H954" s="92"/>
      <c r="I954" s="92"/>
      <c r="J954" s="93"/>
      <c r="K954" s="93"/>
      <c r="L954" s="90"/>
      <c r="M954" s="90"/>
      <c r="N954" s="90"/>
      <c r="Q954" s="10"/>
    </row>
    <row r="955" spans="3:17" ht="12.75">
      <c r="C955" s="92"/>
      <c r="D955" s="92"/>
      <c r="E955" s="92"/>
      <c r="F955" s="92"/>
      <c r="G955" s="92"/>
      <c r="H955" s="92"/>
      <c r="I955" s="92"/>
      <c r="J955" s="93"/>
      <c r="K955" s="93"/>
      <c r="L955" s="90"/>
      <c r="M955" s="90"/>
      <c r="N955" s="90"/>
      <c r="Q955" s="10"/>
    </row>
    <row r="956" spans="3:17" ht="12.75">
      <c r="C956" s="92"/>
      <c r="D956" s="92"/>
      <c r="E956" s="92"/>
      <c r="F956" s="92"/>
      <c r="G956" s="92"/>
      <c r="H956" s="92"/>
      <c r="I956" s="92"/>
      <c r="J956" s="93"/>
      <c r="K956" s="93"/>
      <c r="L956" s="90"/>
      <c r="M956" s="90"/>
      <c r="N956" s="90"/>
      <c r="Q956" s="10"/>
    </row>
    <row r="957" spans="3:17" ht="12.75">
      <c r="C957" s="92"/>
      <c r="D957" s="92"/>
      <c r="E957" s="92"/>
      <c r="F957" s="92"/>
      <c r="G957" s="92"/>
      <c r="H957" s="92"/>
      <c r="I957" s="92"/>
      <c r="J957" s="93"/>
      <c r="K957" s="93"/>
      <c r="L957" s="90"/>
      <c r="M957" s="90"/>
      <c r="N957" s="90"/>
      <c r="Q957" s="10"/>
    </row>
    <row r="958" spans="3:17" ht="12.75">
      <c r="C958" s="92"/>
      <c r="D958" s="92"/>
      <c r="E958" s="92"/>
      <c r="F958" s="92"/>
      <c r="G958" s="92"/>
      <c r="H958" s="92"/>
      <c r="I958" s="92"/>
      <c r="J958" s="93"/>
      <c r="K958" s="93"/>
      <c r="L958" s="90"/>
      <c r="M958" s="90"/>
      <c r="N958" s="90"/>
      <c r="Q958" s="10"/>
    </row>
    <row r="959" spans="3:17" ht="12.75">
      <c r="C959" s="92"/>
      <c r="D959" s="92"/>
      <c r="E959" s="92"/>
      <c r="F959" s="92"/>
      <c r="G959" s="92"/>
      <c r="H959" s="92"/>
      <c r="I959" s="92"/>
      <c r="J959" s="93"/>
      <c r="K959" s="93"/>
      <c r="L959" s="90"/>
      <c r="M959" s="90"/>
      <c r="N959" s="90"/>
      <c r="Q959" s="10"/>
    </row>
    <row r="960" spans="3:17" ht="12.75">
      <c r="C960" s="92"/>
      <c r="D960" s="92"/>
      <c r="E960" s="92"/>
      <c r="F960" s="92"/>
      <c r="G960" s="92"/>
      <c r="H960" s="92"/>
      <c r="I960" s="92"/>
      <c r="J960" s="93"/>
      <c r="K960" s="93"/>
      <c r="L960" s="90"/>
      <c r="M960" s="90"/>
      <c r="N960" s="90"/>
      <c r="Q960" s="10"/>
    </row>
    <row r="961" spans="3:17" ht="12.75">
      <c r="C961" s="92"/>
      <c r="D961" s="92"/>
      <c r="E961" s="92"/>
      <c r="F961" s="92"/>
      <c r="G961" s="92"/>
      <c r="H961" s="92"/>
      <c r="I961" s="92"/>
      <c r="J961" s="93"/>
      <c r="K961" s="93"/>
      <c r="L961" s="90"/>
      <c r="M961" s="90"/>
      <c r="N961" s="90"/>
      <c r="Q961" s="10"/>
    </row>
    <row r="962" spans="3:17" ht="12.75">
      <c r="C962" s="92"/>
      <c r="D962" s="92"/>
      <c r="E962" s="92"/>
      <c r="F962" s="92"/>
      <c r="G962" s="92"/>
      <c r="H962" s="92"/>
      <c r="I962" s="92"/>
      <c r="J962" s="93"/>
      <c r="K962" s="93"/>
      <c r="L962" s="90"/>
      <c r="M962" s="90"/>
      <c r="N962" s="90"/>
      <c r="Q962" s="10"/>
    </row>
    <row r="963" spans="3:17" ht="12.75">
      <c r="C963" s="92"/>
      <c r="D963" s="92"/>
      <c r="E963" s="92"/>
      <c r="F963" s="92"/>
      <c r="G963" s="92"/>
      <c r="H963" s="92"/>
      <c r="I963" s="92"/>
      <c r="J963" s="93"/>
      <c r="K963" s="93"/>
      <c r="L963" s="90"/>
      <c r="M963" s="90"/>
      <c r="N963" s="90"/>
      <c r="Q963" s="10"/>
    </row>
    <row r="964" spans="3:17" ht="12.75">
      <c r="C964" s="92"/>
      <c r="D964" s="92"/>
      <c r="E964" s="92"/>
      <c r="F964" s="92"/>
      <c r="G964" s="92"/>
      <c r="H964" s="92"/>
      <c r="I964" s="92"/>
      <c r="J964" s="93"/>
      <c r="K964" s="93"/>
      <c r="L964" s="90"/>
      <c r="M964" s="90"/>
      <c r="N964" s="90"/>
      <c r="Q964" s="10"/>
    </row>
    <row r="965" spans="3:17" ht="12.75">
      <c r="C965" s="92"/>
      <c r="D965" s="92"/>
      <c r="E965" s="92"/>
      <c r="F965" s="92"/>
      <c r="G965" s="92"/>
      <c r="H965" s="92"/>
      <c r="I965" s="92"/>
      <c r="J965" s="93"/>
      <c r="K965" s="93"/>
      <c r="L965" s="90"/>
      <c r="M965" s="90"/>
      <c r="N965" s="90"/>
      <c r="Q965" s="10"/>
    </row>
    <row r="966" spans="3:17" ht="12.75">
      <c r="C966" s="92"/>
      <c r="D966" s="92"/>
      <c r="E966" s="92"/>
      <c r="F966" s="92"/>
      <c r="G966" s="92"/>
      <c r="H966" s="92"/>
      <c r="I966" s="92"/>
      <c r="J966" s="93"/>
      <c r="K966" s="93"/>
      <c r="L966" s="90"/>
      <c r="M966" s="90"/>
      <c r="N966" s="90"/>
      <c r="Q966" s="10"/>
    </row>
    <row r="967" spans="3:17" ht="12.75">
      <c r="C967" s="92"/>
      <c r="D967" s="92"/>
      <c r="E967" s="92"/>
      <c r="F967" s="92"/>
      <c r="G967" s="92"/>
      <c r="H967" s="92"/>
      <c r="I967" s="92"/>
      <c r="J967" s="93"/>
      <c r="K967" s="93"/>
      <c r="L967" s="90"/>
      <c r="M967" s="90"/>
      <c r="N967" s="90"/>
      <c r="Q967" s="10"/>
    </row>
    <row r="968" spans="3:17" ht="12.75">
      <c r="C968" s="92"/>
      <c r="D968" s="92"/>
      <c r="E968" s="92"/>
      <c r="F968" s="92"/>
      <c r="G968" s="92"/>
      <c r="H968" s="92"/>
      <c r="I968" s="92"/>
      <c r="J968" s="93"/>
      <c r="K968" s="93"/>
      <c r="L968" s="90"/>
      <c r="M968" s="90"/>
      <c r="N968" s="90"/>
      <c r="Q968" s="10"/>
    </row>
    <row r="969" spans="3:17" ht="12.75">
      <c r="C969" s="92"/>
      <c r="D969" s="92"/>
      <c r="E969" s="92"/>
      <c r="F969" s="92"/>
      <c r="G969" s="92"/>
      <c r="H969" s="92"/>
      <c r="I969" s="92"/>
      <c r="J969" s="93"/>
      <c r="K969" s="93"/>
      <c r="L969" s="90"/>
      <c r="M969" s="90"/>
      <c r="N969" s="90"/>
      <c r="Q969" s="10"/>
    </row>
    <row r="970" spans="3:17" ht="12.75">
      <c r="C970" s="92"/>
      <c r="D970" s="92"/>
      <c r="E970" s="92"/>
      <c r="F970" s="92"/>
      <c r="G970" s="92"/>
      <c r="H970" s="92"/>
      <c r="I970" s="92"/>
      <c r="J970" s="93"/>
      <c r="K970" s="93"/>
      <c r="L970" s="90"/>
      <c r="M970" s="90"/>
      <c r="N970" s="90"/>
      <c r="Q970" s="10"/>
    </row>
    <row r="971" spans="3:17" ht="12.75">
      <c r="C971" s="92"/>
      <c r="D971" s="92"/>
      <c r="E971" s="92"/>
      <c r="F971" s="92"/>
      <c r="G971" s="92"/>
      <c r="H971" s="92"/>
      <c r="I971" s="92"/>
      <c r="J971" s="93"/>
      <c r="K971" s="93"/>
      <c r="L971" s="90"/>
      <c r="M971" s="90"/>
      <c r="N971" s="90"/>
      <c r="Q971" s="10"/>
    </row>
    <row r="972" spans="3:17" ht="12.75">
      <c r="C972" s="92"/>
      <c r="D972" s="92"/>
      <c r="E972" s="92"/>
      <c r="F972" s="92"/>
      <c r="G972" s="92"/>
      <c r="H972" s="92"/>
      <c r="I972" s="92"/>
      <c r="J972" s="93"/>
      <c r="K972" s="93"/>
      <c r="L972" s="90"/>
      <c r="M972" s="90"/>
      <c r="N972" s="90"/>
      <c r="Q972" s="10"/>
    </row>
    <row r="973" spans="3:17" ht="12.75">
      <c r="C973" s="92"/>
      <c r="D973" s="92"/>
      <c r="E973" s="92"/>
      <c r="F973" s="92"/>
      <c r="G973" s="92"/>
      <c r="H973" s="92"/>
      <c r="I973" s="92"/>
      <c r="J973" s="93"/>
      <c r="K973" s="93"/>
      <c r="L973" s="90"/>
      <c r="M973" s="90"/>
      <c r="N973" s="90"/>
      <c r="Q973" s="10"/>
    </row>
    <row r="974" spans="3:17" ht="12.75">
      <c r="C974" s="92"/>
      <c r="D974" s="92"/>
      <c r="E974" s="92"/>
      <c r="F974" s="92"/>
      <c r="G974" s="92"/>
      <c r="H974" s="92"/>
      <c r="I974" s="92"/>
      <c r="J974" s="93"/>
      <c r="K974" s="93"/>
      <c r="L974" s="90"/>
      <c r="M974" s="90"/>
      <c r="N974" s="90"/>
      <c r="Q974" s="10"/>
    </row>
    <row r="975" spans="3:17" ht="12.75">
      <c r="C975" s="92"/>
      <c r="D975" s="92"/>
      <c r="E975" s="92"/>
      <c r="F975" s="92"/>
      <c r="G975" s="92"/>
      <c r="H975" s="92"/>
      <c r="I975" s="92"/>
      <c r="J975" s="93"/>
      <c r="K975" s="93"/>
      <c r="L975" s="90"/>
      <c r="M975" s="90"/>
      <c r="N975" s="90"/>
      <c r="Q975" s="10"/>
    </row>
    <row r="976" spans="3:17" ht="12.75">
      <c r="C976" s="92"/>
      <c r="D976" s="92"/>
      <c r="E976" s="92"/>
      <c r="F976" s="92"/>
      <c r="G976" s="92"/>
      <c r="H976" s="92"/>
      <c r="I976" s="92"/>
      <c r="J976" s="93"/>
      <c r="K976" s="93"/>
      <c r="L976" s="90"/>
      <c r="M976" s="90"/>
      <c r="N976" s="90"/>
      <c r="Q976" s="10"/>
    </row>
    <row r="977" spans="3:17" ht="12.75">
      <c r="C977" s="92"/>
      <c r="D977" s="92"/>
      <c r="E977" s="92"/>
      <c r="F977" s="92"/>
      <c r="G977" s="92"/>
      <c r="H977" s="92"/>
      <c r="I977" s="92"/>
      <c r="J977" s="93"/>
      <c r="K977" s="93"/>
      <c r="L977" s="90"/>
      <c r="M977" s="90"/>
      <c r="N977" s="90"/>
      <c r="Q977" s="10"/>
    </row>
    <row r="978" spans="3:17" ht="12.75">
      <c r="C978" s="92"/>
      <c r="D978" s="92"/>
      <c r="E978" s="92"/>
      <c r="F978" s="92"/>
      <c r="G978" s="92"/>
      <c r="H978" s="92"/>
      <c r="I978" s="92"/>
      <c r="J978" s="93"/>
      <c r="K978" s="93"/>
      <c r="L978" s="90"/>
      <c r="M978" s="90"/>
      <c r="N978" s="90"/>
      <c r="Q978" s="10"/>
    </row>
    <row r="979" spans="3:17" ht="12.75">
      <c r="C979" s="92"/>
      <c r="D979" s="92"/>
      <c r="E979" s="92"/>
      <c r="F979" s="92"/>
      <c r="G979" s="92"/>
      <c r="H979" s="92"/>
      <c r="I979" s="92"/>
      <c r="J979" s="93"/>
      <c r="K979" s="93"/>
      <c r="L979" s="90"/>
      <c r="M979" s="90"/>
      <c r="N979" s="90"/>
      <c r="Q979" s="10"/>
    </row>
    <row r="980" spans="3:17" ht="12.75">
      <c r="C980" s="92"/>
      <c r="D980" s="92"/>
      <c r="E980" s="92"/>
      <c r="F980" s="92"/>
      <c r="G980" s="92"/>
      <c r="H980" s="92"/>
      <c r="I980" s="92"/>
      <c r="J980" s="93"/>
      <c r="K980" s="93"/>
      <c r="L980" s="90"/>
      <c r="M980" s="90"/>
      <c r="N980" s="90"/>
      <c r="Q980" s="10"/>
    </row>
    <row r="981" spans="3:17" ht="12.75">
      <c r="C981" s="92"/>
      <c r="D981" s="92"/>
      <c r="E981" s="92"/>
      <c r="F981" s="92"/>
      <c r="G981" s="92"/>
      <c r="H981" s="92"/>
      <c r="I981" s="92"/>
      <c r="J981" s="93"/>
      <c r="K981" s="93"/>
      <c r="L981" s="90"/>
      <c r="M981" s="90"/>
      <c r="N981" s="90"/>
      <c r="Q981" s="10"/>
    </row>
    <row r="982" spans="3:17" ht="12.75">
      <c r="C982" s="92"/>
      <c r="D982" s="92"/>
      <c r="E982" s="92"/>
      <c r="F982" s="92"/>
      <c r="G982" s="92"/>
      <c r="H982" s="92"/>
      <c r="I982" s="92"/>
      <c r="J982" s="93"/>
      <c r="K982" s="93"/>
      <c r="L982" s="90"/>
      <c r="M982" s="90"/>
      <c r="N982" s="90"/>
      <c r="Q982" s="10"/>
    </row>
    <row r="983" spans="3:17" ht="12.75">
      <c r="C983" s="92"/>
      <c r="D983" s="92"/>
      <c r="E983" s="92"/>
      <c r="F983" s="92"/>
      <c r="G983" s="92"/>
      <c r="H983" s="92"/>
      <c r="I983" s="92"/>
      <c r="J983" s="93"/>
      <c r="K983" s="93"/>
      <c r="L983" s="90"/>
      <c r="M983" s="90"/>
      <c r="N983" s="90"/>
      <c r="Q983" s="10"/>
    </row>
    <row r="984" spans="3:17" ht="12.75">
      <c r="C984" s="92"/>
      <c r="D984" s="92"/>
      <c r="E984" s="92"/>
      <c r="F984" s="92"/>
      <c r="G984" s="92"/>
      <c r="H984" s="92"/>
      <c r="I984" s="92"/>
      <c r="J984" s="93"/>
      <c r="K984" s="93"/>
      <c r="L984" s="90"/>
      <c r="M984" s="90"/>
      <c r="N984" s="90"/>
      <c r="Q984" s="10"/>
    </row>
    <row r="985" spans="3:17" ht="12.75">
      <c r="C985" s="92"/>
      <c r="D985" s="92"/>
      <c r="E985" s="92"/>
      <c r="F985" s="92"/>
      <c r="G985" s="92"/>
      <c r="H985" s="92"/>
      <c r="I985" s="92"/>
      <c r="J985" s="93"/>
      <c r="K985" s="93"/>
      <c r="L985" s="90"/>
      <c r="M985" s="90"/>
      <c r="N985" s="90"/>
      <c r="Q985" s="10"/>
    </row>
    <row r="986" spans="3:17" ht="12.75">
      <c r="C986" s="92"/>
      <c r="D986" s="92"/>
      <c r="E986" s="92"/>
      <c r="F986" s="92"/>
      <c r="G986" s="92"/>
      <c r="H986" s="92"/>
      <c r="I986" s="92"/>
      <c r="J986" s="93"/>
      <c r="K986" s="93"/>
      <c r="L986" s="90"/>
      <c r="M986" s="90"/>
      <c r="N986" s="90"/>
      <c r="Q986" s="10"/>
    </row>
    <row r="987" spans="3:17" ht="12.75">
      <c r="C987" s="92"/>
      <c r="D987" s="92"/>
      <c r="E987" s="92"/>
      <c r="F987" s="92"/>
      <c r="G987" s="92"/>
      <c r="H987" s="92"/>
      <c r="I987" s="92"/>
      <c r="J987" s="93"/>
      <c r="K987" s="93"/>
      <c r="L987" s="90"/>
      <c r="M987" s="90"/>
      <c r="N987" s="90"/>
      <c r="Q987" s="10"/>
    </row>
    <row r="988" spans="3:17" ht="12.75">
      <c r="C988" s="92"/>
      <c r="D988" s="92"/>
      <c r="E988" s="92"/>
      <c r="F988" s="92"/>
      <c r="G988" s="92"/>
      <c r="H988" s="92"/>
      <c r="I988" s="92"/>
      <c r="J988" s="93"/>
      <c r="K988" s="93"/>
      <c r="L988" s="90"/>
      <c r="M988" s="90"/>
      <c r="N988" s="90"/>
      <c r="Q988" s="10"/>
    </row>
    <row r="989" spans="3:17" ht="12.75">
      <c r="C989" s="92"/>
      <c r="D989" s="92"/>
      <c r="E989" s="92"/>
      <c r="F989" s="92"/>
      <c r="G989" s="92"/>
      <c r="H989" s="92"/>
      <c r="I989" s="92"/>
      <c r="J989" s="93"/>
      <c r="K989" s="93"/>
      <c r="L989" s="90"/>
      <c r="M989" s="90"/>
      <c r="N989" s="90"/>
      <c r="Q989" s="10"/>
    </row>
    <row r="990" spans="3:17" ht="12.75">
      <c r="C990" s="92"/>
      <c r="D990" s="92"/>
      <c r="E990" s="92"/>
      <c r="F990" s="92"/>
      <c r="G990" s="92"/>
      <c r="H990" s="92"/>
      <c r="I990" s="92"/>
      <c r="J990" s="93"/>
      <c r="K990" s="93"/>
      <c r="L990" s="90"/>
      <c r="M990" s="90"/>
      <c r="N990" s="90"/>
      <c r="Q990" s="10"/>
    </row>
    <row r="991" spans="3:17" ht="12.75">
      <c r="C991" s="92"/>
      <c r="D991" s="92"/>
      <c r="E991" s="92"/>
      <c r="F991" s="92"/>
      <c r="G991" s="92"/>
      <c r="H991" s="92"/>
      <c r="I991" s="92"/>
      <c r="J991" s="93"/>
      <c r="K991" s="93"/>
      <c r="L991" s="90"/>
      <c r="M991" s="90"/>
      <c r="N991" s="90"/>
      <c r="Q991" s="10"/>
    </row>
    <row r="992" spans="3:17" ht="12.75">
      <c r="C992" s="92"/>
      <c r="D992" s="92"/>
      <c r="E992" s="92"/>
      <c r="F992" s="92"/>
      <c r="G992" s="92"/>
      <c r="H992" s="92"/>
      <c r="I992" s="92"/>
      <c r="J992" s="93"/>
      <c r="K992" s="93"/>
      <c r="L992" s="90"/>
      <c r="M992" s="90"/>
      <c r="N992" s="90"/>
      <c r="Q992" s="10"/>
    </row>
    <row r="993" spans="3:17" ht="12.75">
      <c r="C993" s="92"/>
      <c r="D993" s="92"/>
      <c r="E993" s="92"/>
      <c r="F993" s="92"/>
      <c r="G993" s="92"/>
      <c r="H993" s="92"/>
      <c r="I993" s="92"/>
      <c r="J993" s="93"/>
      <c r="K993" s="93"/>
      <c r="L993" s="90"/>
      <c r="M993" s="90"/>
      <c r="N993" s="90"/>
      <c r="Q993" s="10"/>
    </row>
    <row r="994" spans="3:17" ht="12.75">
      <c r="C994" s="92"/>
      <c r="D994" s="92"/>
      <c r="E994" s="92"/>
      <c r="F994" s="92"/>
      <c r="G994" s="92"/>
      <c r="H994" s="92"/>
      <c r="I994" s="92"/>
      <c r="J994" s="93"/>
      <c r="K994" s="93"/>
      <c r="L994" s="90"/>
      <c r="M994" s="90"/>
      <c r="N994" s="90"/>
      <c r="Q994" s="10"/>
    </row>
    <row r="995" spans="3:17" ht="12.75">
      <c r="C995" s="92"/>
      <c r="D995" s="92"/>
      <c r="E995" s="92"/>
      <c r="F995" s="92"/>
      <c r="G995" s="92"/>
      <c r="H995" s="92"/>
      <c r="I995" s="92"/>
      <c r="J995" s="93"/>
      <c r="K995" s="93"/>
      <c r="L995" s="90"/>
      <c r="M995" s="90"/>
      <c r="N995" s="90"/>
      <c r="Q995" s="10"/>
    </row>
    <row r="996" spans="3:17" ht="12.75">
      <c r="C996" s="92"/>
      <c r="D996" s="92"/>
      <c r="E996" s="92"/>
      <c r="F996" s="92"/>
      <c r="G996" s="92"/>
      <c r="H996" s="92"/>
      <c r="I996" s="92"/>
      <c r="J996" s="93"/>
      <c r="K996" s="93"/>
      <c r="L996" s="90"/>
      <c r="M996" s="90"/>
      <c r="N996" s="90"/>
      <c r="Q996" s="10"/>
    </row>
    <row r="997" spans="3:17" ht="12.75">
      <c r="C997" s="92"/>
      <c r="D997" s="92"/>
      <c r="E997" s="92"/>
      <c r="F997" s="92"/>
      <c r="G997" s="92"/>
      <c r="H997" s="92"/>
      <c r="I997" s="92"/>
      <c r="J997" s="93"/>
      <c r="K997" s="93"/>
      <c r="L997" s="90"/>
      <c r="M997" s="90"/>
      <c r="N997" s="90"/>
      <c r="Q997" s="10"/>
    </row>
    <row r="998" spans="3:17" ht="12.75">
      <c r="C998" s="92"/>
      <c r="D998" s="92"/>
      <c r="E998" s="92"/>
      <c r="F998" s="92"/>
      <c r="G998" s="92"/>
      <c r="H998" s="92"/>
      <c r="I998" s="92"/>
      <c r="J998" s="93"/>
      <c r="K998" s="93"/>
      <c r="L998" s="90"/>
      <c r="M998" s="90"/>
      <c r="N998" s="90"/>
      <c r="Q998" s="10"/>
    </row>
    <row r="999" spans="3:17" ht="12.75">
      <c r="C999" s="92"/>
      <c r="D999" s="92"/>
      <c r="E999" s="92"/>
      <c r="F999" s="92"/>
      <c r="G999" s="92"/>
      <c r="H999" s="92"/>
      <c r="I999" s="92"/>
      <c r="J999" s="93"/>
      <c r="K999" s="93"/>
      <c r="L999" s="90"/>
      <c r="M999" s="90"/>
      <c r="N999" s="90"/>
      <c r="Q999" s="10"/>
    </row>
    <row r="1000" spans="3:17" ht="12.75">
      <c r="C1000" s="92"/>
      <c r="D1000" s="92"/>
      <c r="E1000" s="92"/>
      <c r="F1000" s="92"/>
      <c r="G1000" s="92"/>
      <c r="H1000" s="92"/>
      <c r="I1000" s="92"/>
      <c r="J1000" s="93"/>
      <c r="K1000" s="93"/>
      <c r="L1000" s="90"/>
      <c r="M1000" s="90"/>
      <c r="N1000" s="90"/>
      <c r="Q1000" s="10"/>
    </row>
    <row r="1001" spans="3:17" ht="12.75">
      <c r="C1001" s="92"/>
      <c r="D1001" s="92"/>
      <c r="E1001" s="92"/>
      <c r="F1001" s="92"/>
      <c r="G1001" s="92"/>
      <c r="H1001" s="92"/>
      <c r="I1001" s="92"/>
      <c r="J1001" s="93"/>
      <c r="K1001" s="93"/>
      <c r="L1001" s="90"/>
      <c r="M1001" s="90"/>
      <c r="N1001" s="90"/>
      <c r="Q1001" s="10"/>
    </row>
    <row r="1002" spans="3:17" ht="12.75">
      <c r="C1002" s="92"/>
      <c r="D1002" s="92"/>
      <c r="E1002" s="92"/>
      <c r="F1002" s="92"/>
      <c r="G1002" s="92"/>
      <c r="H1002" s="92"/>
      <c r="I1002" s="92"/>
      <c r="J1002" s="93"/>
      <c r="K1002" s="93"/>
      <c r="L1002" s="90"/>
      <c r="M1002" s="90"/>
      <c r="N1002" s="90"/>
      <c r="Q1002" s="10"/>
    </row>
  </sheetData>
  <autoFilter ref="A1:N217" xr:uid="{00000000-0009-0000-0000-000001000000}"/>
  <customSheetViews>
    <customSheetView guid="{C81C101F-CB96-46FF-8555-0A67D4AE8F3D}" filter="1" showAutoFilter="1">
      <pageMargins left="0.7" right="0.7" top="0.75" bottom="0.75" header="0.3" footer="0.3"/>
      <autoFilter ref="A1:Q217" xr:uid="{00000000-0000-0000-0000-000000000000}">
        <filterColumn colId="6">
          <filters>
            <filter val="Alcoba, Mr. John"/>
            <filter val="Almeida, Mrs. Anabela"/>
            <filter val="Alving, Ms. Giuseppina"/>
            <filter val="Bailey, Mrs. Shana"/>
            <filter val="Bailey, Ms. Shana"/>
            <filter val="Buitrago, Mr. Oscar"/>
            <filter val="Burke, Mrs. Arelis"/>
            <filter val="Candanedo, Mr. Nivardo"/>
            <filter val="Cherrick, Mrs. Liliane"/>
            <filter val="Choi, Ms. YoungMee"/>
            <filter val="Cordova-Orellana, Mrs. Kateri"/>
            <filter val="Corrales, Mrs. Sandy"/>
            <filter val="Corrales, Ms. Sandy"/>
            <filter val="De La Cruz, Ms. Maribel"/>
            <filter val="DeCruise-Brown, Ms. Colleen"/>
            <filter val="Deugenio Pinel, Ms. Zoe"/>
            <filter val="Ferman, Mrs. Marta"/>
            <filter val="Ferman, Ms. Marta"/>
            <filter val="Garduno Villa, Mr. Eduardo"/>
            <filter val="Gebrehiwot, Ms. Abeba &quot;Abba&quot;"/>
            <filter val="Gilchrist, Mrs. Jade"/>
            <filter val="Gonzalez, Ms. Veronica"/>
            <filter val="Gordon, Ms. Deneen"/>
            <filter val="Granados, Ms. Crystal"/>
            <filter val="Haza, Mrs. Elia"/>
            <filter val="Hentati, Mrs. Saida"/>
            <filter val="Herrara-Jurado, Ms. Dary"/>
            <filter val="Herrera-Jurado, Ms. Dary"/>
            <filter val="Huynh, Ms. Theresa"/>
            <filter val="Jarquin, Mrs. Alejandra"/>
            <filter val="Kassaye, Mr. Abebe"/>
            <filter val="Kim, Ms. Molly"/>
            <filter val="Lambert, Ms. Luz"/>
            <filter val="Laureano, Ms. Melissa"/>
            <filter val="Mebrate, Mr. Getasew"/>
            <filter val="Medrano Romero, Ms. Mirna"/>
            <filter val="Molina, Mr. Pablo"/>
            <filter val="Moore, Ms. Shanique"/>
            <filter val="Nabavian, Mrs. Farzaneh"/>
            <filter val="Nava, Mrs. Ana"/>
            <filter val="Newlands, Ms. Alicia"/>
            <filter val="Nguyen, Ms. Lan"/>
            <filter val="Nkemleke, Mr. Barnabas"/>
            <filter val="Palleres, Ms. Veronica"/>
            <filter val="Quiroga, Mr. Gonzalo"/>
            <filter val="Raffo, Ms. Giovanna"/>
            <filter val="Romero, Mrs. Sylvia"/>
            <filter val="Romero, Ms. Maria"/>
            <filter val="Rowry Sadur, Ms. Cynthia"/>
            <filter val="Ruiz-Miller, Ms. Sally"/>
            <filter val="Santos, Ms. Patricia"/>
            <filter val="Shen, Ms. Lily"/>
            <filter val="Smith, Mr. Jeremy"/>
            <filter val="Sobalvarro-Ochoa, Mrs. Magda"/>
            <filter val="Tsai, Mrs. Annie"/>
            <filter val="Williams, Ms. Martha"/>
            <filter val="Woods, Ms. Sandra"/>
            <filter val="Zuniga, Ms. Evelyn"/>
          </filters>
        </filterColumn>
      </autoFilter>
    </customSheetView>
    <customSheetView guid="{DCF8D69F-2C1D-42AD-8FA2-F345EEC1F5E4}" filter="1" showAutoFilter="1">
      <pageMargins left="0.7" right="0.7" top="0.75" bottom="0.75" header="0.3" footer="0.3"/>
      <autoFilter ref="Q1:Q1002" xr:uid="{00000000-0000-0000-0000-000000000000}"/>
    </customSheetView>
    <customSheetView guid="{5C2A8CD1-7A75-4471-AB6D-B149CF431B55}" filter="1" showAutoFilter="1">
      <pageMargins left="0.7" right="0.7" top="0.75" bottom="0.75" header="0.3" footer="0.3"/>
      <autoFilter ref="A1:Q217" xr:uid="{00000000-0000-0000-0000-000000000000}">
        <filterColumn colId="1">
          <filters>
            <filter val="Arcola ES"/>
            <filter val="Argyle MS"/>
            <filter val="Ashburton ES"/>
            <filter val="Baker MS"/>
            <filter val="Banneker, Benjamin MS"/>
            <filter val="Bannockburn ES"/>
            <filter val="Barnsley, Lucy V. ES"/>
            <filter val="Bayard Rustin"/>
            <filter val="Beall ES"/>
            <filter val="Bel Pre ES"/>
            <filter val="Bells Mill ES"/>
            <filter val="Belmont ES"/>
            <filter val="Bethesda Chevy Chase HS"/>
            <filter val="Bethesda ES"/>
            <filter val="Beverly Farms ES"/>
            <filter val="Blair, Montgomery HS + TTI/CCC"/>
            <filter val="Blake, James Hubert HS"/>
            <filter val="Bradley Hills ES"/>
            <filter val="Briggs Chaney MS"/>
            <filter val="Brooke Grove ES"/>
            <filter val="Brookhaven ES"/>
            <filter val="Brown Station ES"/>
            <filter val="Burning Tree ES"/>
            <filter val="Burnt Mills ES"/>
            <filter val="Burtonsville ES"/>
            <filter val="Cabin John MS"/>
            <filter val="Candlewood ES"/>
            <filter val="Cannon Road ES"/>
            <filter val="Carderock Springs ES"/>
            <filter val="Carson, Rachel ES"/>
            <filter val="Cashell ES"/>
            <filter val="Cedar Grove ES"/>
            <filter val="Chevy Chase ES"/>
            <filter val="Churchill, Winston HS"/>
            <filter val="Clarksburg ES"/>
            <filter val="Clarksburg HS"/>
            <filter val="Clearspring ES"/>
            <filter val="Clemente MS"/>
            <filter val="Clopper Mill ES"/>
            <filter val="Cloverly ES"/>
            <filter val="Cold Spring ES"/>
            <filter val="College Garden ES"/>
            <filter val="Cresthaven ES"/>
            <filter val="Daly, Capt. James E. ES"/>
            <filter val="Damascus ES"/>
            <filter val="Damascus HS"/>
            <filter val="Darnestown ES"/>
            <filter val="Diamond ES"/>
            <filter val="Drew, Dr. Charles R. ES"/>
            <filter val="DuFief ES"/>
            <filter val="East Silver Spring ES"/>
            <filter val="Eastern MS"/>
            <filter val="Einstein, Albert HS"/>
            <filter val="Fairland ES"/>
            <filter val="Fallsmead ES"/>
            <filter val="Farmland ES"/>
            <filter val="Farquhar, William H. MS"/>
            <filter val="Fields Road ES"/>
            <filter val="Flower Hill ES"/>
            <filter val="Flower Valley ES"/>
            <filter val="Forest Knolls ES"/>
            <filter val="Forest Oak MS"/>
            <filter val="Fox Chapel ES"/>
            <filter val="Frost, Robert MS"/>
            <filter val="Gaithersburg ES"/>
            <filter val="Gaithersburg HS"/>
            <filter val="Gaithersburg MS"/>
            <filter val="Galway ES"/>
            <filter val="Garrett Park ES"/>
            <filter val="Georgian Forest ES"/>
            <filter val="Germantown ES"/>
            <filter val="Gibbs, William ES"/>
            <filter val="Glen Haven ES"/>
            <filter val="Glenallen ES"/>
            <filter val="Goshen ES"/>
            <filter val="Great Seneca Creek ES"/>
            <filter val="Greencastle ES"/>
            <filter val="Greenwood ES"/>
            <filter val="Harmony Hills ES"/>
            <filter val="Highland ES"/>
            <filter val="Highland View ES"/>
            <filter val="Hoover MS"/>
            <filter val="Jackson Road ES"/>
            <filter val="JoAnn Leleck ES @ Broad Acres"/>
            <filter val="Johnson, Walter HS"/>
            <filter val="Jones Lane ES"/>
            <filter val="Kemp Mill ES"/>
            <filter val="Kennedy, John F. HS"/>
            <filter val="Kensington Parkwood ES"/>
            <filter val="Key, Francis Scott MS"/>
            <filter val="King, Martin L. MS"/>
            <filter val="Kingsview MS"/>
            <filter val="Lake Seneca ES"/>
            <filter val="Lakelands Park MS"/>
            <filter val="Lakewood ES"/>
            <filter val="Laytonsville ES"/>
            <filter val="Little Bennett ES"/>
            <filter val="Loiederman, A. Mario MS"/>
            <filter val="Luxmanor ES"/>
            <filter val="Magruder, Col. Zadok HS"/>
            <filter val="Marshall, Thurgood ES"/>
            <filter val="Maryvale ES"/>
            <filter val="Matsunaga, Spark M. ES"/>
            <filter val="McAuliffe, Christa S. ES"/>
            <filter val="McNair, Ronald ES"/>
            <filter val="Meadow Hall ES"/>
            <filter val="Mill Creek Towne ES"/>
            <filter val="Monocacy ES"/>
            <filter val="Montgomery Knolls ES"/>
            <filter val="Montgomery Village MS"/>
            <filter val="Montgomery, Richard HS + TTI/CCC mid county"/>
            <filter val="Neelsville MS"/>
            <filter val="New Hampshire Estates ES"/>
            <filter val="Newport Mill MS"/>
            <filter val="North Bethesda MS"/>
            <filter val="North Chevy Chase ES"/>
            <filter val="Northwest HS"/>
            <filter val="Northwood HS"/>
            <filter val="Oak View ES"/>
            <filter val="Oakland Terrace ES"/>
            <filter val="Odessa Shannon MS (formerly Col. E. B. Lee)"/>
            <filter val="Olney ES"/>
            <filter val="Page ES"/>
            <filter val="Paint Branch HS"/>
            <filter val="Parkland MS"/>
            <filter val="Parks, Rosa M. MS"/>
            <filter val="Pine Crest ES"/>
            <filter val="Piney Branch ES"/>
            <filter val="Poole, John MS"/>
            <filter val="Poolesville ES"/>
            <filter val="Poolesville HS"/>
            <filter val="Potomac ES"/>
            <filter val="Pyle, Thomas W. MS"/>
            <filter val="Quince Orchard HS"/>
            <filter val="Redland MS"/>
            <filter val="Resnik, Judith A. ES"/>
            <filter val="Ride, Dr. Sally K. ES"/>
            <filter val="Ridgeview MS"/>
            <filter val="Ritchie Park ES"/>
            <filter val="Rock Creek Forest ES"/>
            <filter val="Rock Creek Valley ES"/>
            <filter val="Rock Terrace"/>
            <filter val="Rock View ES"/>
            <filter val="Rockville HS"/>
            <filter val="Rockwell, Lois P. ES"/>
            <filter val="Rocky Hill MS"/>
            <filter val="Rolling Terrace ES"/>
            <filter val="Roscoe Nix ES"/>
            <filter val="Rosemary Hills ES"/>
            <filter val="Rosemont ES"/>
            <filter val="Seneca Valley HS + TTI/CCC upcounty"/>
            <filter val="Sequoyah ES"/>
            <filter val="Seven Locks ES"/>
            <filter val="Shady Grove MS"/>
            <filter val="Sherwood ES"/>
            <filter val="Sherwood HS"/>
            <filter val="Shriver, Sargent ES"/>
            <filter val="Silver Creek MS"/>
            <filter val="Silver Spring International MS"/>
            <filter val="Singer, Flora M. ES"/>
            <filter val="Sligo Creek ES"/>
            <filter val="Sligo MS"/>
            <filter val="Snowden Farm ES + SESS"/>
            <filter val="Somerset ES"/>
            <filter val="South Lake ES"/>
            <filter val="Springbrook HS"/>
            <filter val="Stedwick ES"/>
            <filter val="Stone Mill ES"/>
            <filter val="Stonegate ES"/>
            <filter val="Strathmore ES"/>
            <filter val="Strawberry Knoll ES"/>
            <filter val="Summit Hall ES"/>
            <filter val="Takoma Park ES"/>
            <filter val="Takoma Park MS"/>
            <filter val="Thomas Edison Technology HS"/>
            <filter val="Tilden MS"/>
            <filter val="Travilah ES"/>
            <filter val="Tubman, Harriet (NEW - GaithersburgES #8)"/>
            <filter val="Twinbrook ES"/>
            <filter val="Viers Mill ES"/>
            <filter val="Washington Grove ES"/>
            <filter val="Waters Landing ES"/>
            <filter val="Watkins Mill ES"/>
            <filter val="Watkins Mill HS"/>
            <filter val="Wayside ES"/>
            <filter val="Weller Road ES"/>
            <filter val="Wells, Hallie MS"/>
            <filter val="West, Julius MS + ED Unit"/>
            <filter val="Westbrook ES"/>
            <filter val="Westland MS"/>
            <filter val="Westover ES"/>
            <filter val="Wheaton HS"/>
            <filter val="Wheaton Woods ES"/>
            <filter val="Whetstone ES"/>
            <filter val="White Oak MS"/>
            <filter val="Whitman, Walt HS"/>
            <filter val="Wims, Wilson ES"/>
            <filter val="Wood Acres ES"/>
            <filter val="Wood, Earle B. MS"/>
            <filter val="Woodfield ES"/>
            <filter val="Woodlin ES"/>
            <filter val="Wootton, Thomas S. HS"/>
            <filter val="Wyngate ES"/>
          </filters>
        </filterColumn>
        <filterColumn colId="6">
          <filters blank="1">
            <filter val="Romero, Ms. Maria"/>
          </filters>
        </filterColumn>
      </autoFilter>
    </customSheetView>
  </customSheetViews>
  <conditionalFormatting sqref="I2:I217">
    <cfRule type="expression" dxfId="0" priority="1">
      <formula>AND(ISTEXT($G2),ISBLANK($I2))=TRUE</formula>
    </cfRule>
  </conditionalFormatting>
  <hyperlinks>
    <hyperlink ref="G1" r:id="rId1" xr:uid="{00000000-0004-0000-0100-000000000000}"/>
  </hyperlinks>
  <printOptions horizontalCentered="1" gridLines="1"/>
  <pageMargins left="0.7" right="0.7" top="0.75" bottom="0.75" header="0" footer="0"/>
  <pageSetup scale="75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outlinePr summaryBelow="0" summaryRight="0"/>
    <pageSetUpPr fitToPage="1"/>
  </sheetPr>
  <dimension ref="A1:N100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5703125" defaultRowHeight="15.75" customHeight="1"/>
  <cols>
    <col min="1" max="1" width="18.42578125" customWidth="1"/>
    <col min="2" max="2" width="29.42578125" customWidth="1"/>
    <col min="3" max="3" width="9" customWidth="1"/>
    <col min="4" max="4" width="23" customWidth="1"/>
    <col min="5" max="5" width="33.42578125" customWidth="1"/>
    <col min="6" max="6" width="27.5703125" customWidth="1"/>
    <col min="7" max="7" width="24.42578125" customWidth="1"/>
    <col min="8" max="8" width="24.140625" customWidth="1"/>
    <col min="9" max="9" width="22.42578125" customWidth="1"/>
    <col min="10" max="10" width="28.140625" customWidth="1"/>
    <col min="11" max="13" width="20.85546875" customWidth="1"/>
    <col min="14" max="14" width="18.85546875" customWidth="1"/>
  </cols>
  <sheetData>
    <row r="1" spans="1:14" ht="51">
      <c r="A1" s="24" t="s">
        <v>0</v>
      </c>
      <c r="B1" s="24" t="s">
        <v>1</v>
      </c>
      <c r="C1" s="25" t="s">
        <v>2</v>
      </c>
      <c r="D1" s="25" t="s">
        <v>3</v>
      </c>
      <c r="E1" s="25" t="s">
        <v>4</v>
      </c>
      <c r="F1" s="26" t="s">
        <v>623</v>
      </c>
      <c r="G1" s="28" t="s">
        <v>624</v>
      </c>
      <c r="H1" s="29" t="s">
        <v>625</v>
      </c>
      <c r="I1" s="30" t="s">
        <v>626</v>
      </c>
      <c r="J1" s="30" t="s">
        <v>627</v>
      </c>
      <c r="K1" s="31" t="s">
        <v>628</v>
      </c>
      <c r="L1" s="31" t="s">
        <v>629</v>
      </c>
      <c r="M1" s="32" t="s">
        <v>630</v>
      </c>
    </row>
    <row r="2" spans="1:14" ht="12.75" hidden="1">
      <c r="A2" s="33" t="s">
        <v>421</v>
      </c>
      <c r="B2" s="33" t="s">
        <v>422</v>
      </c>
      <c r="C2" s="50">
        <v>652</v>
      </c>
      <c r="D2" s="34" t="str">
        <f t="array" ref="D2">INDEX('Synergy import (8232022)'!A$1:L$229,MATCH(C2,'Synergy import (8232022)'!D$1:D$229,0),8)</f>
        <v>Alban, Kristin A.</v>
      </c>
      <c r="E2" s="34" t="str">
        <f t="array" ref="E2">INDEX('Synergy import (8232022)'!A$1:L$229,MATCH(C2,'Synergy import (8232022)'!D$1:D$229,0),7)</f>
        <v>Kristin_A_Alban@mcpsmd.org</v>
      </c>
      <c r="F2" s="50" t="s">
        <v>423</v>
      </c>
      <c r="G2" s="99"/>
      <c r="H2" s="36" t="s">
        <v>424</v>
      </c>
      <c r="I2" s="55"/>
      <c r="J2" s="39"/>
      <c r="K2" s="40"/>
      <c r="L2" s="41"/>
      <c r="M2" s="39"/>
      <c r="N2" s="42"/>
    </row>
    <row r="3" spans="1:14" ht="12.75">
      <c r="A3" s="33" t="s">
        <v>247</v>
      </c>
      <c r="B3" s="33" t="s">
        <v>512</v>
      </c>
      <c r="C3" s="34">
        <v>795</v>
      </c>
      <c r="D3" s="34" t="str">
        <f t="array" ref="D3">INDEX('Synergy import (8232022)'!A$1:L$229,MATCH(C3,'Synergy import (8232022)'!D$1:D$229,0),8)</f>
        <v>Alexander, Kristine A.</v>
      </c>
      <c r="E3" s="34" t="str">
        <f t="array" ref="E3">INDEX('Synergy import (8232022)'!A$1:L$229,MATCH(C3,'Synergy import (8232022)'!D$1:D$229,0),7)</f>
        <v>Kristine_A_Alexander@mcpsmd.org</v>
      </c>
      <c r="F3" s="43" t="s">
        <v>649</v>
      </c>
      <c r="G3" s="44" t="s">
        <v>754</v>
      </c>
      <c r="H3" s="36" t="s">
        <v>350</v>
      </c>
      <c r="I3" s="37" t="s">
        <v>755</v>
      </c>
      <c r="J3" s="39"/>
      <c r="K3" s="46"/>
      <c r="L3" s="47"/>
      <c r="M3" s="48" t="s">
        <v>631</v>
      </c>
      <c r="N3" s="49"/>
    </row>
    <row r="4" spans="1:14" ht="12.75" hidden="1">
      <c r="A4" s="33" t="s">
        <v>148</v>
      </c>
      <c r="B4" s="33" t="s">
        <v>544</v>
      </c>
      <c r="C4" s="34">
        <v>347</v>
      </c>
      <c r="D4" s="34" t="str">
        <f t="array" ref="D4">INDEX('Synergy import (8232022)'!A$1:L$229,MATCH(C4,'Synergy import (8232022)'!D$1:D$229,0),8)</f>
        <v>Allen, Yolanda R.</v>
      </c>
      <c r="E4" s="34" t="str">
        <f t="array" ref="E4">INDEX('Synergy import (8232022)'!A$1:L$229,MATCH(C4,'Synergy import (8232022)'!D$1:D$229,0),7)</f>
        <v>Yolanda_R_Allen@mcpsmd.org</v>
      </c>
      <c r="F4" s="60" t="s">
        <v>442</v>
      </c>
      <c r="G4" s="52"/>
      <c r="H4" s="36" t="s">
        <v>34</v>
      </c>
      <c r="I4" s="55"/>
      <c r="J4" s="39"/>
      <c r="K4" s="46"/>
      <c r="L4" s="49"/>
      <c r="M4" s="48"/>
      <c r="N4" s="49"/>
    </row>
    <row r="5" spans="1:14" ht="12.75" hidden="1">
      <c r="A5" s="33" t="s">
        <v>65</v>
      </c>
      <c r="B5" s="33" t="s">
        <v>486</v>
      </c>
      <c r="C5" s="34">
        <v>601</v>
      </c>
      <c r="D5" s="34" t="str">
        <f t="array" ref="D5">INDEX('Synergy import (8232022)'!A$1:L$229,MATCH(C5,'Synergy import (8232022)'!D$1:D$229,0),8)</f>
        <v>Allie, Catherine R.</v>
      </c>
      <c r="E5" s="34" t="str">
        <f t="array" ref="E5">INDEX('Synergy import (8232022)'!A$1:L$229,MATCH(C5,'Synergy import (8232022)'!D$1:D$229,0),7)</f>
        <v>Catherine_R_Allie@mcpsmd.org</v>
      </c>
      <c r="F5" s="43" t="s">
        <v>179</v>
      </c>
      <c r="G5" s="52"/>
      <c r="H5" s="36" t="s">
        <v>67</v>
      </c>
      <c r="I5" s="55"/>
      <c r="J5" s="39"/>
      <c r="K5" s="57"/>
      <c r="L5" s="49"/>
      <c r="M5" s="48" t="s">
        <v>633</v>
      </c>
      <c r="N5" s="49"/>
    </row>
    <row r="6" spans="1:14" ht="25.5">
      <c r="A6" s="33" t="s">
        <v>10</v>
      </c>
      <c r="B6" s="33" t="s">
        <v>18</v>
      </c>
      <c r="C6" s="34">
        <v>823</v>
      </c>
      <c r="D6" s="34" t="str">
        <f t="array" ref="D6">INDEX('Synergy import (8232022)'!A$1:L$229,MATCH(C6,'Synergy import (8232022)'!D$1:D$229,0),8)</f>
        <v>Allrich, James K.</v>
      </c>
      <c r="E6" s="34" t="str">
        <f t="array" ref="E6">INDEX('Synergy import (8232022)'!A$1:L$229,MATCH(C6,'Synergy import (8232022)'!D$1:D$229,0),7)</f>
        <v>James_K_Allrich@mcpsmd.org</v>
      </c>
      <c r="F6" s="43" t="s">
        <v>47</v>
      </c>
      <c r="G6" s="44" t="s">
        <v>19</v>
      </c>
      <c r="H6" s="36" t="s">
        <v>21</v>
      </c>
      <c r="I6" s="37" t="s">
        <v>23</v>
      </c>
      <c r="J6" s="45"/>
      <c r="K6" s="46"/>
      <c r="L6" s="49"/>
      <c r="M6" s="58" t="s">
        <v>634</v>
      </c>
      <c r="N6" s="49"/>
    </row>
    <row r="7" spans="1:14" ht="25.5">
      <c r="A7" s="33" t="s">
        <v>291</v>
      </c>
      <c r="B7" s="33" t="s">
        <v>579</v>
      </c>
      <c r="C7" s="50">
        <v>552</v>
      </c>
      <c r="D7" s="34" t="str">
        <f t="array" ref="D7">INDEX('Synergy import (8232022)'!A$1:L$229,MATCH(C7,'Synergy import (8232022)'!D$1:D$229,0),8)</f>
        <v>Alonso, Amy J.</v>
      </c>
      <c r="E7" s="34" t="str">
        <f t="array" ref="E7">INDEX('Synergy import (8232022)'!A$1:L$229,MATCH(C7,'Synergy import (8232022)'!D$1:D$229,0),7)</f>
        <v>Amy_J_Alonso@mcpsmd.org</v>
      </c>
      <c r="F7" s="51" t="s">
        <v>580</v>
      </c>
      <c r="G7" s="44" t="s">
        <v>276</v>
      </c>
      <c r="H7" s="36" t="s">
        <v>672</v>
      </c>
      <c r="I7" s="84"/>
      <c r="J7" s="39"/>
      <c r="K7" s="46"/>
      <c r="L7" s="49"/>
      <c r="M7" s="39"/>
      <c r="N7" s="49"/>
    </row>
    <row r="8" spans="1:14" ht="12.75">
      <c r="A8" s="33" t="s">
        <v>52</v>
      </c>
      <c r="B8" s="33" t="s">
        <v>56</v>
      </c>
      <c r="C8" s="50">
        <v>207</v>
      </c>
      <c r="D8" s="34" t="str">
        <f t="array" ref="D8">INDEX('Synergy import (8232022)'!A$1:L$229,MATCH(C8,'Synergy import (8232022)'!D$1:D$229,0),8)</f>
        <v>Alter, Elliot M.</v>
      </c>
      <c r="E8" s="34" t="str">
        <f t="array" ref="E8">INDEX('Synergy import (8232022)'!A$1:L$229,MATCH(C8,'Synergy import (8232022)'!D$1:D$229,0),7)</f>
        <v>Elliot_Alter@mcpsmd.org</v>
      </c>
      <c r="F8" s="51" t="s">
        <v>437</v>
      </c>
      <c r="G8" s="44" t="s">
        <v>57</v>
      </c>
      <c r="H8" s="36" t="s">
        <v>59</v>
      </c>
      <c r="I8" s="55"/>
      <c r="J8" s="39"/>
      <c r="K8" s="46"/>
      <c r="L8" s="49"/>
      <c r="M8" s="39"/>
      <c r="N8" s="49"/>
    </row>
    <row r="9" spans="1:14" ht="12.75">
      <c r="A9" s="33" t="s">
        <v>129</v>
      </c>
      <c r="B9" s="33" t="s">
        <v>392</v>
      </c>
      <c r="C9" s="34">
        <v>522</v>
      </c>
      <c r="D9" s="34" t="str">
        <f t="array" ref="D9">INDEX('Synergy import (8232022)'!A$1:L$229,MATCH(C9,'Synergy import (8232022)'!D$1:D$229,0),8)</f>
        <v>Alvarez, Rose S.</v>
      </c>
      <c r="E9" s="34" t="str">
        <f t="array" ref="E9">INDEX('Synergy import (8232022)'!A$1:L$229,MATCH(C9,'Synergy import (8232022)'!D$1:D$229,0),7)</f>
        <v>Rose_S_Alvarez@mcpsmd.org</v>
      </c>
      <c r="F9" s="60" t="s">
        <v>647</v>
      </c>
      <c r="G9" s="44" t="s">
        <v>393</v>
      </c>
      <c r="H9" s="36" t="s">
        <v>167</v>
      </c>
      <c r="I9" s="37" t="s">
        <v>394</v>
      </c>
      <c r="J9" s="39"/>
      <c r="K9" s="57"/>
      <c r="L9" s="49"/>
      <c r="M9" s="38"/>
      <c r="N9" s="49"/>
    </row>
    <row r="10" spans="1:14" ht="12.75">
      <c r="A10" s="33" t="s">
        <v>139</v>
      </c>
      <c r="B10" s="33" t="s">
        <v>140</v>
      </c>
      <c r="C10" s="50">
        <v>309</v>
      </c>
      <c r="D10" s="34" t="str">
        <f t="array" ref="D10">INDEX('Synergy import (8232022)'!A$1:L$229,MATCH(C10,'Synergy import (8232022)'!D$1:D$229,0),8)</f>
        <v>Ashton, Stacy A.</v>
      </c>
      <c r="E10" s="34" t="str">
        <f t="array" ref="E10">INDEX('Synergy import (8232022)'!A$1:L$229,MATCH(C10,'Synergy import (8232022)'!D$1:D$229,0),7)</f>
        <v>Stacy_A_Ashton@mcpsmd.org</v>
      </c>
      <c r="F10" s="51" t="s">
        <v>648</v>
      </c>
      <c r="G10" s="44" t="s">
        <v>39</v>
      </c>
      <c r="H10" s="36" t="s">
        <v>142</v>
      </c>
      <c r="I10" s="55"/>
      <c r="J10" s="39"/>
      <c r="K10" s="46"/>
      <c r="L10" s="49"/>
      <c r="M10" s="39"/>
      <c r="N10" s="49"/>
    </row>
    <row r="11" spans="1:14" ht="12.75">
      <c r="A11" s="33" t="s">
        <v>74</v>
      </c>
      <c r="B11" s="33" t="s">
        <v>538</v>
      </c>
      <c r="C11" s="50">
        <v>835</v>
      </c>
      <c r="D11" s="34" t="str">
        <f t="array" ref="D11">INDEX('Synergy import (8232022)'!A$1:L$229,MATCH(C11,'Synergy import (8232022)'!D$1:D$229,0),8)</f>
        <v>Awkard, Tiffany N.</v>
      </c>
      <c r="E11" s="34" t="str">
        <f t="array" ref="E11">INDEX('Synergy import (8232022)'!A$1:L$229,MATCH(C11,'Synergy import (8232022)'!D$1:D$229,0),7)</f>
        <v>Tiffany_N_Awkard@mcpsmd.org</v>
      </c>
      <c r="F11" s="56" t="s">
        <v>455</v>
      </c>
      <c r="G11" s="44" t="s">
        <v>507</v>
      </c>
      <c r="H11" s="36" t="s">
        <v>640</v>
      </c>
      <c r="I11" s="55"/>
      <c r="J11" s="39"/>
      <c r="K11" s="46"/>
      <c r="L11" s="47"/>
      <c r="M11" s="39"/>
      <c r="N11" s="49"/>
    </row>
    <row r="12" spans="1:14" ht="12.75" hidden="1">
      <c r="A12" s="33" t="s">
        <v>25</v>
      </c>
      <c r="B12" s="33" t="s">
        <v>366</v>
      </c>
      <c r="C12" s="50">
        <v>424</v>
      </c>
      <c r="D12" s="34" t="str">
        <f t="array" ref="D12">INDEX('Synergy import (8232022)'!A$1:L$229,MATCH(C12,'Synergy import (8232022)'!D$1:D$229,0),8)</f>
        <v>Baker, Jennifer A.</v>
      </c>
      <c r="E12" s="34" t="str">
        <f t="array" ref="E12">INDEX('Synergy import (8232022)'!A$1:L$229,MATCH(C12,'Synergy import (8232022)'!D$1:D$229,0),7)</f>
        <v>Jennifer_A_Baker@mcpsmd.org</v>
      </c>
      <c r="F12" s="51" t="s">
        <v>367</v>
      </c>
      <c r="G12" s="52"/>
      <c r="H12" s="53" t="s">
        <v>27</v>
      </c>
      <c r="I12" s="55"/>
      <c r="J12" s="39"/>
      <c r="K12" s="46"/>
      <c r="L12" s="49"/>
      <c r="M12" s="39"/>
      <c r="N12" s="49"/>
    </row>
    <row r="13" spans="1:14" ht="12.75">
      <c r="A13" s="33" t="s">
        <v>139</v>
      </c>
      <c r="B13" s="33" t="s">
        <v>360</v>
      </c>
      <c r="C13" s="34">
        <v>304</v>
      </c>
      <c r="D13" s="34" t="str">
        <f t="array" ref="D13">INDEX('Synergy import (8232022)'!A$1:L$229,MATCH(C13,'Synergy import (8232022)'!D$1:D$229,0),8)</f>
        <v>Barber, Harold A.</v>
      </c>
      <c r="E13" s="34" t="str">
        <f t="array" ref="E13">INDEX('Synergy import (8232022)'!A$1:L$229,MATCH(C13,'Synergy import (8232022)'!D$1:D$229,0),7)</f>
        <v>Harold_A_Barber@mcpsmd.org</v>
      </c>
      <c r="F13" s="60" t="s">
        <v>684</v>
      </c>
      <c r="G13" s="44" t="s">
        <v>361</v>
      </c>
      <c r="H13" s="36" t="s">
        <v>363</v>
      </c>
      <c r="I13" s="37" t="s">
        <v>401</v>
      </c>
      <c r="J13" s="39"/>
      <c r="K13" s="46"/>
      <c r="L13" s="49"/>
      <c r="M13" s="39"/>
      <c r="N13" s="49"/>
    </row>
    <row r="14" spans="1:14" ht="12.75" hidden="1">
      <c r="A14" s="33" t="s">
        <v>211</v>
      </c>
      <c r="B14" s="33" t="s">
        <v>236</v>
      </c>
      <c r="C14" s="34">
        <v>241</v>
      </c>
      <c r="D14" s="34" t="str">
        <f t="array" ref="D14">INDEX('Synergy import (8232022)'!A$1:L$229,MATCH(C14,'Synergy import (8232022)'!D$1:D$229,0),8)</f>
        <v>Baron, Gregg</v>
      </c>
      <c r="E14" s="34" t="str">
        <f t="array" ref="E14">INDEX('Synergy import (8232022)'!A$1:L$229,MATCH(C14,'Synergy import (8232022)'!D$1:D$229,0),7)</f>
        <v>Gregg_Baron@mcpsmd.org</v>
      </c>
      <c r="F14" s="43" t="s">
        <v>660</v>
      </c>
      <c r="G14" s="52"/>
      <c r="H14" s="36" t="s">
        <v>175</v>
      </c>
      <c r="I14" s="55"/>
      <c r="J14" s="39"/>
      <c r="K14" s="57"/>
      <c r="L14" s="49" t="s">
        <v>83</v>
      </c>
      <c r="M14" s="38" t="s">
        <v>639</v>
      </c>
      <c r="N14" s="49"/>
    </row>
    <row r="15" spans="1:14" ht="12.75">
      <c r="A15" s="33" t="s">
        <v>101</v>
      </c>
      <c r="B15" s="33" t="s">
        <v>208</v>
      </c>
      <c r="C15" s="50">
        <v>308</v>
      </c>
      <c r="D15" s="34" t="str">
        <f t="array" ref="D15">INDEX('Synergy import (8232022)'!A$1:L$229,MATCH(C15,'Synergy import (8232022)'!D$1:D$229,0),8)</f>
        <v>Bayewitz, Michael D.</v>
      </c>
      <c r="E15" s="34" t="str">
        <f t="array" ref="E15">INDEX('Synergy import (8232022)'!A$1:L$229,MATCH(C15,'Synergy import (8232022)'!D$1:D$229,0),7)</f>
        <v>Michael_D_Bayewitz@mcpsmd.org</v>
      </c>
      <c r="F15" s="51" t="s">
        <v>38</v>
      </c>
      <c r="G15" s="44" t="s">
        <v>209</v>
      </c>
      <c r="H15" s="36" t="s">
        <v>105</v>
      </c>
      <c r="I15" s="55"/>
      <c r="J15" s="39"/>
      <c r="K15" s="57"/>
      <c r="L15" s="49"/>
      <c r="M15" s="38"/>
      <c r="N15" s="49"/>
    </row>
    <row r="16" spans="1:14" ht="12.75" hidden="1">
      <c r="A16" s="33" t="s">
        <v>69</v>
      </c>
      <c r="B16" s="33" t="s">
        <v>267</v>
      </c>
      <c r="C16" s="50">
        <v>507</v>
      </c>
      <c r="D16" s="34" t="str">
        <f t="array" ref="D16">INDEX('Synergy import (8232022)'!A$1:L$229,MATCH(C16,'Synergy import (8232022)'!D$1:D$229,0),8)</f>
        <v>Beidleman, Joel L.</v>
      </c>
      <c r="E16" s="34" t="str">
        <f t="array" ref="E16">INDEX('Synergy import (8232022)'!A$1:L$229,MATCH(C16,'Synergy import (8232022)'!D$1:D$229,0),7)</f>
        <v>Joel_L_Beidleman@mcpsmd.org</v>
      </c>
      <c r="F16" s="56" t="s">
        <v>268</v>
      </c>
      <c r="G16" s="52"/>
      <c r="H16" s="36" t="s">
        <v>269</v>
      </c>
      <c r="I16" s="55"/>
      <c r="J16" s="39"/>
      <c r="K16" s="46"/>
      <c r="L16" s="49"/>
      <c r="M16" s="39"/>
      <c r="N16" s="49"/>
    </row>
    <row r="17" spans="1:14" ht="12.75" hidden="1">
      <c r="A17" s="33" t="s">
        <v>148</v>
      </c>
      <c r="B17" s="33" t="s">
        <v>182</v>
      </c>
      <c r="C17" s="50">
        <v>101</v>
      </c>
      <c r="D17" s="34" t="str">
        <f t="array" ref="D17">INDEX('Synergy import (8232022)'!A$1:L$229,MATCH(C17,'Synergy import (8232022)'!D$1:D$229,0),8)</f>
        <v>Bencal, Carl R.</v>
      </c>
      <c r="E17" s="34" t="str">
        <f t="array" ref="E17">INDEX('Synergy import (8232022)'!A$1:L$229,MATCH(C17,'Synergy import (8232022)'!D$1:D$229,0),7)</f>
        <v>Carl_R_Bencal@mcpsmd.org</v>
      </c>
      <c r="F17" s="56" t="s">
        <v>31</v>
      </c>
      <c r="G17" s="52"/>
      <c r="H17" s="36" t="s">
        <v>251</v>
      </c>
      <c r="I17" s="55"/>
      <c r="J17" s="39"/>
      <c r="K17" s="57"/>
      <c r="L17" s="49"/>
      <c r="M17" s="59"/>
      <c r="N17" s="49"/>
    </row>
    <row r="18" spans="1:14" ht="12.75" hidden="1">
      <c r="A18" s="33" t="s">
        <v>148</v>
      </c>
      <c r="B18" s="33" t="s">
        <v>397</v>
      </c>
      <c r="C18" s="50">
        <v>336</v>
      </c>
      <c r="D18" s="34" t="str">
        <f t="array" ref="D18">INDEX('Synergy import (8232022)'!A$1:L$229,MATCH(C18,'Synergy import (8232022)'!D$1:D$229,0),8)</f>
        <v>Bernstein, Evan H.</v>
      </c>
      <c r="E18" s="34" t="str">
        <f t="array" ref="E18">INDEX('Synergy import (8232022)'!A$1:L$229,MATCH(C18,'Synergy import (8232022)'!D$1:D$229,0),7)</f>
        <v>Evan_H_Bernstein@mcpsmd.org</v>
      </c>
      <c r="F18" s="51" t="s">
        <v>547</v>
      </c>
      <c r="G18" s="52"/>
      <c r="H18" s="36" t="s">
        <v>398</v>
      </c>
      <c r="I18" s="55"/>
      <c r="J18" s="39"/>
      <c r="K18" s="62"/>
      <c r="L18" s="63" t="s">
        <v>100</v>
      </c>
      <c r="M18" s="38" t="s">
        <v>642</v>
      </c>
      <c r="N18" s="49"/>
    </row>
    <row r="19" spans="1:14" ht="12.75">
      <c r="A19" s="33" t="s">
        <v>148</v>
      </c>
      <c r="B19" s="33" t="s">
        <v>323</v>
      </c>
      <c r="C19" s="50">
        <v>337</v>
      </c>
      <c r="D19" s="34" t="str">
        <f t="array" ref="D19">INDEX('Synergy import (8232022)'!A$1:L$229,MATCH(C19,'Synergy import (8232022)'!D$1:D$229,0),8)</f>
        <v>Bosnic, Kimberly B.</v>
      </c>
      <c r="E19" s="34" t="str">
        <f t="array" ref="E19">INDEX('Synergy import (8232022)'!A$1:L$229,MATCH(C19,'Synergy import (8232022)'!D$1:D$229,0),7)</f>
        <v>Kimberly_B_Bosnic@mcpsmd.org</v>
      </c>
      <c r="F19" s="56" t="s">
        <v>141</v>
      </c>
      <c r="G19" s="64" t="s">
        <v>324</v>
      </c>
      <c r="H19" s="36" t="s">
        <v>251</v>
      </c>
      <c r="I19" s="55"/>
      <c r="J19" s="39"/>
      <c r="K19" s="46"/>
      <c r="L19" s="49" t="s">
        <v>109</v>
      </c>
      <c r="M19" s="38" t="s">
        <v>643</v>
      </c>
      <c r="N19" s="49"/>
    </row>
    <row r="20" spans="1:14" ht="12.75" hidden="1">
      <c r="A20" s="33" t="s">
        <v>41</v>
      </c>
      <c r="B20" s="33" t="s">
        <v>42</v>
      </c>
      <c r="C20" s="50">
        <v>420</v>
      </c>
      <c r="D20" s="34" t="str">
        <f t="array" ref="D20">INDEX('Synergy import (8232022)'!A$1:L$229,MATCH(C20,'Synergy import (8232022)'!D$1:D$229,0),8)</f>
        <v>Bradley, Kathryn D.</v>
      </c>
      <c r="E20" s="34" t="str">
        <f t="array" ref="E20">INDEX('Synergy import (8232022)'!A$1:L$229,MATCH(C20,'Synergy import (8232022)'!D$1:D$229,0),7)</f>
        <v>Kathryn_D_Bradley@mcpsmd.org</v>
      </c>
      <c r="F20" s="51" t="s">
        <v>450</v>
      </c>
      <c r="G20" s="52"/>
      <c r="H20" s="36" t="s">
        <v>43</v>
      </c>
      <c r="I20" s="55"/>
      <c r="J20" s="39"/>
      <c r="K20" s="46"/>
      <c r="L20" s="49" t="s">
        <v>611</v>
      </c>
      <c r="M20" s="38"/>
      <c r="N20" s="49"/>
    </row>
    <row r="21" spans="1:14" ht="12.75" hidden="1">
      <c r="A21" s="33" t="s">
        <v>89</v>
      </c>
      <c r="B21" s="33" t="s">
        <v>555</v>
      </c>
      <c r="C21" s="50">
        <v>799</v>
      </c>
      <c r="D21" s="34" t="str">
        <f t="array" ref="D21">INDEX('Synergy import (8232022)'!A$1:L$229,MATCH(C21,'Synergy import (8232022)'!D$1:D$229,0),8)</f>
        <v>Brandt, Abby L.</v>
      </c>
      <c r="E21" s="34" t="str">
        <f t="array" ref="E21">INDEX('Synergy import (8232022)'!A$1:L$229,MATCH(C21,'Synergy import (8232022)'!D$1:D$229,0),7)</f>
        <v>Abby_L_Brandt@mcpsmd.org</v>
      </c>
      <c r="F21" s="56" t="s">
        <v>446</v>
      </c>
      <c r="G21" s="52"/>
      <c r="H21" s="36" t="s">
        <v>353</v>
      </c>
      <c r="I21" s="55"/>
      <c r="J21" s="39"/>
      <c r="K21" s="46"/>
      <c r="L21" s="49" t="s">
        <v>552</v>
      </c>
      <c r="M21" s="38"/>
      <c r="N21" s="49"/>
    </row>
    <row r="22" spans="1:14" ht="12.75" hidden="1">
      <c r="A22" s="33" t="s">
        <v>29</v>
      </c>
      <c r="B22" s="33" t="s">
        <v>617</v>
      </c>
      <c r="C22" s="50">
        <v>704</v>
      </c>
      <c r="D22" s="34" t="str">
        <f t="array" ref="D22">INDEX('Synergy import (8232022)'!A$1:L$229,MATCH(C22,'Synergy import (8232022)'!D$1:D$229,0),8)</f>
        <v>Brant, Stephanie D.</v>
      </c>
      <c r="E22" s="34" t="str">
        <f t="array" ref="E22">INDEX('Synergy import (8232022)'!A$1:L$229,MATCH(C22,'Synergy import (8232022)'!D$1:D$229,0),7)</f>
        <v>Stephanie_D_Brant@mcpsmd.org</v>
      </c>
      <c r="F22" s="56" t="s">
        <v>190</v>
      </c>
      <c r="G22" s="52"/>
      <c r="H22" s="36" t="s">
        <v>614</v>
      </c>
      <c r="I22" s="55"/>
      <c r="J22" s="39"/>
      <c r="K22" s="46"/>
      <c r="L22" s="49"/>
      <c r="M22" s="39"/>
      <c r="N22" s="49"/>
    </row>
    <row r="23" spans="1:14" ht="12.75" hidden="1">
      <c r="A23" s="33" t="s">
        <v>69</v>
      </c>
      <c r="B23" s="33" t="s">
        <v>531</v>
      </c>
      <c r="C23" s="50">
        <v>501</v>
      </c>
      <c r="D23" s="34" t="str">
        <f t="array" ref="D23">INDEX('Synergy import (8232022)'!A$1:L$229,MATCH(C23,'Synergy import (8232022)'!D$1:D$229,0),8)</f>
        <v>Brewer, Dina E.</v>
      </c>
      <c r="E23" s="34" t="str">
        <f t="array" ref="E23">INDEX('Synergy import (8232022)'!A$1:L$229,MATCH(C23,'Synergy import (8232022)'!D$1:D$229,0),7)</f>
        <v>Dina_E_Brewer@mcpsmd.org</v>
      </c>
      <c r="F23" s="51" t="s">
        <v>71</v>
      </c>
      <c r="G23" s="52"/>
      <c r="H23" s="36" t="s">
        <v>72</v>
      </c>
      <c r="I23" s="55"/>
      <c r="J23" s="39"/>
      <c r="K23" s="46"/>
      <c r="L23" s="49"/>
      <c r="M23" s="39"/>
      <c r="N23" s="49"/>
    </row>
    <row r="24" spans="1:14" ht="12.75" hidden="1">
      <c r="A24" s="33" t="s">
        <v>69</v>
      </c>
      <c r="B24" s="33" t="s">
        <v>532</v>
      </c>
      <c r="C24" s="50">
        <v>503</v>
      </c>
      <c r="D24" s="34" t="str">
        <f t="array" ref="D24">INDEX('Synergy import (8232022)'!A$1:L$229,MATCH(C24,'Synergy import (8232022)'!D$1:D$229,0),8)</f>
        <v>Britton, Timothy D.</v>
      </c>
      <c r="E24" s="34" t="str">
        <f t="array" ref="E24">INDEX('Synergy import (8232022)'!A$1:L$229,MATCH(C24,'Synergy import (8232022)'!D$1:D$229,0),7)</f>
        <v>Timothy_D_Britton@mcpsmd.org</v>
      </c>
      <c r="F24" s="56" t="s">
        <v>477</v>
      </c>
      <c r="G24" s="52"/>
      <c r="H24" s="36" t="s">
        <v>341</v>
      </c>
      <c r="I24" s="37" t="s">
        <v>435</v>
      </c>
      <c r="J24" s="59"/>
      <c r="K24" s="46"/>
      <c r="L24" s="49"/>
      <c r="M24" s="39"/>
      <c r="N24" s="49"/>
    </row>
    <row r="25" spans="1:14" ht="25.5">
      <c r="A25" s="33" t="s">
        <v>10</v>
      </c>
      <c r="B25" s="33" t="s">
        <v>61</v>
      </c>
      <c r="C25" s="50">
        <v>780</v>
      </c>
      <c r="D25" s="34" t="str">
        <f t="array" ref="D25">INDEX('Synergy import (8232022)'!A$1:L$229,MATCH(C25,'Synergy import (8232022)'!D$1:D$229,0),8)</f>
        <v>Brooks, Dara</v>
      </c>
      <c r="E25" s="34" t="str">
        <f t="array" ref="E25">INDEX('Synergy import (8232022)'!A$1:L$229,MATCH(C25,'Synergy import (8232022)'!D$1:D$229,0),7)</f>
        <v>Dara_Brooks@mcpsmd.org</v>
      </c>
      <c r="F25" s="51" t="s">
        <v>62</v>
      </c>
      <c r="G25" s="44" t="s">
        <v>19</v>
      </c>
      <c r="H25" s="36" t="s">
        <v>21</v>
      </c>
      <c r="I25" s="37" t="s">
        <v>63</v>
      </c>
      <c r="J25" s="39"/>
      <c r="K25" s="46"/>
      <c r="L25" s="49"/>
      <c r="M25" s="39"/>
      <c r="N25" s="49"/>
    </row>
    <row r="26" spans="1:14" ht="12.75">
      <c r="A26" s="33" t="s">
        <v>195</v>
      </c>
      <c r="B26" s="33" t="s">
        <v>196</v>
      </c>
      <c r="C26" s="50">
        <v>157</v>
      </c>
      <c r="D26" s="34" t="str">
        <f t="array" ref="D26">INDEX('Synergy import (8232022)'!A$1:L$229,MATCH(C26,'Synergy import (8232022)'!D$1:D$229,0),8)</f>
        <v>Brown, Jeffrey T.</v>
      </c>
      <c r="E26" s="34" t="str">
        <f t="array" ref="E26">INDEX('Synergy import (8232022)'!A$1:L$229,MATCH(C26,'Synergy import (8232022)'!D$1:D$229,0),7)</f>
        <v>Jeffrey_T_Brown@mcpsmd.org</v>
      </c>
      <c r="F26" s="56" t="s">
        <v>197</v>
      </c>
      <c r="G26" s="44" t="s">
        <v>562</v>
      </c>
      <c r="H26" s="36" t="s">
        <v>200</v>
      </c>
      <c r="I26" s="37" t="s">
        <v>202</v>
      </c>
      <c r="J26" s="39"/>
      <c r="K26" s="46"/>
      <c r="L26" s="49"/>
      <c r="M26" s="39"/>
      <c r="N26" s="49"/>
    </row>
    <row r="27" spans="1:14" ht="27">
      <c r="A27" s="33" t="s">
        <v>247</v>
      </c>
      <c r="B27" s="33" t="s">
        <v>248</v>
      </c>
      <c r="C27" s="50">
        <v>789</v>
      </c>
      <c r="D27" s="34" t="str">
        <f t="array" ref="D27">INDEX('Synergy import (8232022)'!A$1:L$229,MATCH(C27,'Synergy import (8232022)'!D$1:D$229,0),8)</f>
        <v>Brown, Mark</v>
      </c>
      <c r="E27" s="34" t="str">
        <f t="array" ref="E27">INDEX('Synergy import (8232022)'!A$1:L$229,MATCH(C27,'Synergy import (8232022)'!D$1:D$229,0),7)</f>
        <v>Mark_Brown@mcpsmd.org</v>
      </c>
      <c r="F27" s="51" t="s">
        <v>664</v>
      </c>
      <c r="G27" s="44" t="s">
        <v>249</v>
      </c>
      <c r="H27" s="36" t="s">
        <v>111</v>
      </c>
      <c r="I27" s="55"/>
      <c r="J27" s="71" t="s">
        <v>252</v>
      </c>
      <c r="K27" s="57"/>
      <c r="L27" s="49"/>
      <c r="M27" s="38"/>
      <c r="N27" s="49"/>
    </row>
    <row r="28" spans="1:14" ht="12.75">
      <c r="A28" s="33" t="s">
        <v>36</v>
      </c>
      <c r="B28" s="33" t="s">
        <v>469</v>
      </c>
      <c r="C28" s="50">
        <v>312</v>
      </c>
      <c r="D28" s="34" t="str">
        <f t="array" ref="D28">INDEX('Synergy import (8232022)'!A$1:L$229,MATCH(C28,'Synergy import (8232022)'!D$1:D$229,0),8)</f>
        <v>Brown, Stacey M.</v>
      </c>
      <c r="E28" s="34" t="str">
        <f t="array" ref="E28">INDEX('Synergy import (8232022)'!A$1:L$229,MATCH(C28,'Synergy import (8232022)'!D$1:D$229,0),7)</f>
        <v>Stacey_M_Brown@mcpsmd.org</v>
      </c>
      <c r="F28" s="56" t="s">
        <v>268</v>
      </c>
      <c r="G28" s="44" t="s">
        <v>114</v>
      </c>
      <c r="H28" s="36" t="s">
        <v>470</v>
      </c>
      <c r="I28" s="55"/>
      <c r="J28" s="39"/>
      <c r="K28" s="57"/>
      <c r="L28" s="49"/>
      <c r="M28" s="38" t="s">
        <v>650</v>
      </c>
      <c r="N28" s="49"/>
    </row>
    <row r="29" spans="1:14" ht="12.75">
      <c r="A29" s="33" t="s">
        <v>122</v>
      </c>
      <c r="B29" s="33" t="s">
        <v>534</v>
      </c>
      <c r="C29" s="50">
        <v>779</v>
      </c>
      <c r="D29" s="34" t="str">
        <f t="array" ref="D29">INDEX('Synergy import (8232022)'!A$1:L$229,MATCH(C29,'Synergy import (8232022)'!D$1:D$229,0),8)</f>
        <v>Brown, Zoraida E.</v>
      </c>
      <c r="E29" s="34" t="str">
        <f t="array" ref="E29">INDEX('Synergy import (8232022)'!A$1:L$229,MATCH(C29,'Synergy import (8232022)'!D$1:D$229,0),7)</f>
        <v>Zoraida_E_Brown@mcpsmd.org</v>
      </c>
      <c r="F29" s="56" t="s">
        <v>279</v>
      </c>
      <c r="G29" s="83" t="s">
        <v>535</v>
      </c>
      <c r="H29" s="36" t="s">
        <v>353</v>
      </c>
      <c r="I29" s="37" t="s">
        <v>537</v>
      </c>
      <c r="J29" s="39"/>
      <c r="K29" s="46"/>
      <c r="L29" s="49"/>
      <c r="M29" s="39"/>
      <c r="N29" s="49"/>
    </row>
    <row r="30" spans="1:14" ht="12.75">
      <c r="A30" s="33" t="s">
        <v>195</v>
      </c>
      <c r="B30" s="33" t="s">
        <v>320</v>
      </c>
      <c r="C30" s="34">
        <v>102</v>
      </c>
      <c r="D30" s="34" t="str">
        <f t="array" ref="D30">INDEX('Synergy import (8232022)'!A$1:L$229,MATCH(C30,'Synergy import (8232022)'!D$1:D$229,0),8)</f>
        <v>Bryan, Amy D.</v>
      </c>
      <c r="E30" s="34" t="str">
        <f t="array" ref="E30">INDEX('Synergy import (8232022)'!A$1:L$229,MATCH(C30,'Synergy import (8232022)'!D$1:D$229,0),7)</f>
        <v>Amy_D_Bryan@mcpsmd.org</v>
      </c>
      <c r="F30" s="60" t="s">
        <v>141</v>
      </c>
      <c r="G30" s="44" t="s">
        <v>272</v>
      </c>
      <c r="H30" s="36" t="s">
        <v>200</v>
      </c>
      <c r="I30" s="55"/>
      <c r="J30" s="39"/>
      <c r="K30" s="57"/>
      <c r="L30" s="49"/>
      <c r="M30" s="38"/>
      <c r="N30" s="49"/>
    </row>
    <row r="31" spans="1:14" ht="12.75">
      <c r="A31" s="33" t="s">
        <v>284</v>
      </c>
      <c r="B31" s="33" t="s">
        <v>539</v>
      </c>
      <c r="C31" s="34">
        <v>647</v>
      </c>
      <c r="D31" s="34" t="str">
        <f t="array" ref="D31">INDEX('Synergy import (8232022)'!A$1:L$229,MATCH(C31,'Synergy import (8232022)'!D$1:D$229,0),8)</f>
        <v>Bryant, Karen Y.</v>
      </c>
      <c r="E31" s="34" t="str">
        <f t="array" ref="E31">INDEX('Synergy import (8232022)'!A$1:L$229,MATCH(C31,'Synergy import (8232022)'!D$1:D$229,0),7)</f>
        <v>Karen_Y_Bryant@mcpsmd.org</v>
      </c>
      <c r="F31" s="60" t="s">
        <v>540</v>
      </c>
      <c r="G31" s="44" t="s">
        <v>234</v>
      </c>
      <c r="H31" s="36" t="s">
        <v>518</v>
      </c>
      <c r="I31" s="37" t="s">
        <v>107</v>
      </c>
      <c r="J31" s="39"/>
      <c r="K31" s="46"/>
      <c r="L31" s="49"/>
      <c r="M31" s="39"/>
      <c r="N31" s="49"/>
    </row>
    <row r="32" spans="1:14" ht="12.75">
      <c r="A32" s="33" t="s">
        <v>92</v>
      </c>
      <c r="B32" s="33" t="s">
        <v>237</v>
      </c>
      <c r="C32" s="50">
        <v>756</v>
      </c>
      <c r="D32" s="34" t="str">
        <f t="array" ref="D32">INDEX('Synergy import (8232022)'!A$1:L$229,MATCH(C32,'Synergy import (8232022)'!D$1:D$229,0),8)</f>
        <v>Burd, Michael W.</v>
      </c>
      <c r="E32" s="34" t="str">
        <f t="array" ref="E32">INDEX('Synergy import (8232022)'!A$1:L$229,MATCH(C32,'Synergy import (8232022)'!D$1:D$229,0),7)</f>
        <v>Michael_Burd@mcpsmd.org</v>
      </c>
      <c r="F32" s="51" t="s">
        <v>661</v>
      </c>
      <c r="G32" s="44" t="s">
        <v>238</v>
      </c>
      <c r="H32" s="36" t="s">
        <v>239</v>
      </c>
      <c r="I32" s="55"/>
      <c r="J32" s="39"/>
      <c r="K32" s="46"/>
      <c r="L32" s="10"/>
      <c r="M32" s="39"/>
      <c r="N32" s="49"/>
    </row>
    <row r="33" spans="1:14" ht="12.75">
      <c r="A33" s="33" t="s">
        <v>383</v>
      </c>
      <c r="B33" s="33" t="s">
        <v>500</v>
      </c>
      <c r="C33" s="50">
        <v>242</v>
      </c>
      <c r="D33" s="34" t="str">
        <f t="array" ref="D33">INDEX('Synergy import (8232022)'!A$1:L$229,MATCH(C33,'Synergy import (8232022)'!D$1:D$229,0),8)</f>
        <v>Burgess, Elise M.</v>
      </c>
      <c r="E33" s="34" t="str">
        <f t="array" ref="E33">INDEX('Synergy import (8232022)'!A$1:L$229,MATCH(C33,'Synergy import (8232022)'!D$1:D$229,0),7)</f>
        <v>Elise_M_Burgess@mcpsmd.org</v>
      </c>
      <c r="F33" s="56" t="s">
        <v>224</v>
      </c>
      <c r="G33" s="44" t="s">
        <v>204</v>
      </c>
      <c r="H33" s="36" t="s">
        <v>387</v>
      </c>
      <c r="I33" s="55"/>
      <c r="J33" s="39"/>
      <c r="K33" s="46"/>
      <c r="L33" s="49"/>
      <c r="M33" s="39"/>
      <c r="N33" s="49"/>
    </row>
    <row r="34" spans="1:14" ht="12.75" hidden="1">
      <c r="A34" s="33" t="s">
        <v>148</v>
      </c>
      <c r="B34" s="33" t="s">
        <v>612</v>
      </c>
      <c r="C34" s="50">
        <v>341</v>
      </c>
      <c r="D34" s="34" t="str">
        <f t="array" ref="D34">INDEX('Synergy import (8232022)'!A$1:L$229,MATCH(C34,'Synergy import (8232022)'!D$1:D$229,0),8)</f>
        <v>Burns, Kevin M.</v>
      </c>
      <c r="E34" s="34" t="str">
        <f t="array" ref="E34">INDEX('Synergy import (8232022)'!A$1:L$229,MATCH(C34,'Synergy import (8232022)'!D$1:D$229,0),7)</f>
        <v>Kevin_M_Burns@mcpsmd.org</v>
      </c>
      <c r="F34" s="51" t="s">
        <v>613</v>
      </c>
      <c r="G34" s="52"/>
      <c r="H34" s="36" t="s">
        <v>614</v>
      </c>
      <c r="I34" s="55"/>
      <c r="J34" s="39"/>
      <c r="K34" s="46"/>
      <c r="L34" s="49"/>
      <c r="M34" s="39"/>
      <c r="N34" s="49"/>
    </row>
    <row r="35" spans="1:14" ht="12.75">
      <c r="A35" s="33" t="s">
        <v>247</v>
      </c>
      <c r="B35" s="33" t="s">
        <v>449</v>
      </c>
      <c r="C35" s="50">
        <v>792</v>
      </c>
      <c r="D35" s="34" t="str">
        <f t="array" ref="D35">INDEX('Synergy import (8232022)'!A$1:L$229,MATCH(C35,'Synergy import (8232022)'!D$1:D$229,0),8)</f>
        <v>Butler, Kiera D.</v>
      </c>
      <c r="E35" s="34" t="str">
        <f t="array" ref="E35">INDEX('Synergy import (8232022)'!A$1:L$229,MATCH(C35,'Synergy import (8232022)'!D$1:D$229,0),7)</f>
        <v>Kiera_D_Butler@mcpsmd.org</v>
      </c>
      <c r="F35" s="51" t="s">
        <v>286</v>
      </c>
      <c r="G35" s="44" t="s">
        <v>754</v>
      </c>
      <c r="H35" s="36" t="s">
        <v>327</v>
      </c>
      <c r="I35" s="37" t="s">
        <v>23</v>
      </c>
      <c r="J35" s="39"/>
      <c r="K35" s="57"/>
      <c r="L35" s="49"/>
      <c r="M35" s="38"/>
      <c r="N35" s="49"/>
    </row>
    <row r="36" spans="1:14" ht="12.75">
      <c r="A36" s="33" t="s">
        <v>89</v>
      </c>
      <c r="B36" s="33" t="s">
        <v>567</v>
      </c>
      <c r="C36" s="50">
        <v>748</v>
      </c>
      <c r="D36" s="34" t="str">
        <f t="array" ref="D36">INDEX('Synergy import (8232022)'!A$1:L$229,MATCH(C36,'Synergy import (8232022)'!D$1:D$229,0),8)</f>
        <v>Carias, Heather B.</v>
      </c>
      <c r="E36" s="34" t="str">
        <f t="array" ref="E36">INDEX('Synergy import (8232022)'!A$1:L$229,MATCH(C36,'Synergy import (8232022)'!D$1:D$229,0),7)</f>
        <v>Heather_B_Carias@mcpsmd.org</v>
      </c>
      <c r="F36" s="56" t="s">
        <v>217</v>
      </c>
      <c r="G36" s="44" t="s">
        <v>663</v>
      </c>
      <c r="H36" s="85" t="s">
        <v>217</v>
      </c>
      <c r="I36" s="84"/>
      <c r="J36" s="38" t="s">
        <v>569</v>
      </c>
      <c r="K36" s="46"/>
      <c r="L36" s="49"/>
      <c r="M36" s="39"/>
      <c r="N36" s="49"/>
    </row>
    <row r="37" spans="1:14" ht="12.75" hidden="1">
      <c r="A37" s="33" t="s">
        <v>41</v>
      </c>
      <c r="B37" s="33" t="s">
        <v>110</v>
      </c>
      <c r="C37" s="50">
        <v>410</v>
      </c>
      <c r="D37" s="34" t="str">
        <f t="array" ref="D37">INDEX('Synergy import (8232022)'!A$1:L$229,MATCH(C37,'Synergy import (8232022)'!D$1:D$229,0),8)</f>
        <v>Caroscio, Karen E.</v>
      </c>
      <c r="E37" s="34" t="str">
        <f t="array" ref="E37">INDEX('Synergy import (8232022)'!A$1:L$229,MATCH(C37,'Synergy import (8232022)'!D$1:D$229,0),7)</f>
        <v>Karen_E_Caroscio@mcpsmd.org</v>
      </c>
      <c r="F37" s="56" t="s">
        <v>644</v>
      </c>
      <c r="G37" s="52"/>
      <c r="H37" s="36" t="s">
        <v>43</v>
      </c>
      <c r="I37" s="55"/>
      <c r="J37" s="39"/>
      <c r="K37" s="46"/>
      <c r="L37" s="49" t="s">
        <v>181</v>
      </c>
      <c r="M37" s="48" t="s">
        <v>652</v>
      </c>
      <c r="N37" s="49"/>
    </row>
    <row r="38" spans="1:14" ht="12.75" hidden="1">
      <c r="A38" s="33" t="s">
        <v>421</v>
      </c>
      <c r="B38" s="33" t="s">
        <v>484</v>
      </c>
      <c r="C38" s="50">
        <v>152</v>
      </c>
      <c r="D38" s="34" t="str">
        <f t="array" ref="D38">INDEX('Synergy import (8232022)'!A$1:L$229,MATCH(C38,'Synergy import (8232022)'!D$1:D$229,0),8)</f>
        <v>Carothers, Mark A.</v>
      </c>
      <c r="E38" s="34" t="str">
        <f t="array" ref="E38">INDEX('Synergy import (8232022)'!A$1:L$229,MATCH(C38,'Synergy import (8232022)'!D$1:D$229,0),7)</f>
        <v>Mark_A_Carothers@mcpsmd.org</v>
      </c>
      <c r="F38" s="56" t="s">
        <v>482</v>
      </c>
      <c r="G38" s="52"/>
      <c r="H38" s="36" t="s">
        <v>424</v>
      </c>
      <c r="I38" s="55"/>
      <c r="J38" s="39"/>
      <c r="K38" s="46"/>
      <c r="L38" s="10"/>
      <c r="M38" s="39"/>
      <c r="N38" s="49"/>
    </row>
    <row r="39" spans="1:14" ht="12.75" hidden="1">
      <c r="A39" s="33" t="s">
        <v>65</v>
      </c>
      <c r="B39" s="33" t="s">
        <v>528</v>
      </c>
      <c r="C39" s="50">
        <v>603</v>
      </c>
      <c r="D39" s="34" t="str">
        <f t="array" ref="D39">INDEX('Synergy import (8232022)'!A$1:L$229,MATCH(C39,'Synergy import (8232022)'!D$1:D$229,0),8)</f>
        <v>Carr, Ilana S.</v>
      </c>
      <c r="E39" s="34" t="str">
        <f t="array" ref="E39">INDEX('Synergy import (8232022)'!A$1:L$229,MATCH(C39,'Synergy import (8232022)'!D$1:D$229,0),7)</f>
        <v>Ilana_S_Carr@mcpsmd.org</v>
      </c>
      <c r="F39" s="56" t="s">
        <v>356</v>
      </c>
      <c r="G39" s="52"/>
      <c r="H39" s="36" t="s">
        <v>87</v>
      </c>
      <c r="I39" s="55"/>
      <c r="J39" s="39"/>
      <c r="K39" s="46"/>
      <c r="L39" s="49" t="s">
        <v>653</v>
      </c>
      <c r="M39" s="38" t="s">
        <v>654</v>
      </c>
      <c r="N39" s="49"/>
    </row>
    <row r="40" spans="1:14" ht="12.75">
      <c r="A40" s="33" t="s">
        <v>139</v>
      </c>
      <c r="B40" s="33" t="s">
        <v>233</v>
      </c>
      <c r="C40" s="34">
        <v>747</v>
      </c>
      <c r="D40" s="34" t="str">
        <f t="array" ref="D40">INDEX('Synergy import (8232022)'!A$1:L$229,MATCH(C40,'Synergy import (8232022)'!D$1:D$229,0),8)</f>
        <v>Casper, Meredith A.</v>
      </c>
      <c r="E40" s="34" t="str">
        <f t="array" ref="E40">INDEX('Synergy import (8232022)'!A$1:L$229,MATCH(C40,'Synergy import (8232022)'!D$1:D$229,0),7)</f>
        <v>Meredith_Casper@mcpsmd.org</v>
      </c>
      <c r="F40" s="43" t="s">
        <v>550</v>
      </c>
      <c r="G40" s="44" t="s">
        <v>234</v>
      </c>
      <c r="H40" s="36" t="s">
        <v>142</v>
      </c>
      <c r="I40" s="55"/>
      <c r="J40" s="39"/>
      <c r="K40" s="57"/>
      <c r="L40" s="49"/>
      <c r="M40" s="38"/>
      <c r="N40" s="49"/>
    </row>
    <row r="41" spans="1:14" ht="15">
      <c r="A41" s="33" t="s">
        <v>148</v>
      </c>
      <c r="B41" s="33" t="s">
        <v>223</v>
      </c>
      <c r="C41" s="34">
        <v>111</v>
      </c>
      <c r="D41" s="34" t="str">
        <f t="array" ref="D41">INDEX('Synergy import (8232022)'!A$1:L$229,MATCH(C41,'Synergy import (8232022)'!D$1:D$229,0),8)</f>
        <v>Cedeno, Pedro R.</v>
      </c>
      <c r="E41" s="34" t="str">
        <f t="array" ref="E41">INDEX('Synergy import (8232022)'!A$1:L$229,MATCH(C41,'Synergy import (8232022)'!D$1:D$229,0),7)</f>
        <v>Pedro_R_Cedeno@mcpsmd.org</v>
      </c>
      <c r="F41" s="43" t="s">
        <v>584</v>
      </c>
      <c r="G41" s="44" t="s">
        <v>191</v>
      </c>
      <c r="H41" s="36" t="s">
        <v>151</v>
      </c>
      <c r="I41" s="55"/>
      <c r="J41" s="39"/>
      <c r="K41" s="46"/>
      <c r="L41" s="10"/>
      <c r="M41" s="65" t="s">
        <v>655</v>
      </c>
      <c r="N41" s="49"/>
    </row>
    <row r="42" spans="1:14" ht="12.75" hidden="1">
      <c r="A42" s="33" t="s">
        <v>41</v>
      </c>
      <c r="B42" s="33" t="s">
        <v>162</v>
      </c>
      <c r="C42" s="50">
        <v>604</v>
      </c>
      <c r="D42" s="34" t="str">
        <f t="array" ref="D42">INDEX('Synergy import (8232022)'!A$1:L$229,MATCH(C42,'Synergy import (8232022)'!D$1:D$229,0),8)</f>
        <v>Chan, Anita</v>
      </c>
      <c r="E42" s="34" t="str">
        <f t="array" ref="E42">INDEX('Synergy import (8232022)'!A$1:L$229,MATCH(C42,'Synergy import (8232022)'!D$1:D$229,0),7)</f>
        <v>Anita_Chan@mcpsmd.org</v>
      </c>
      <c r="F42" s="56" t="s">
        <v>163</v>
      </c>
      <c r="G42" s="52"/>
      <c r="H42" s="36" t="s">
        <v>175</v>
      </c>
      <c r="I42" s="55"/>
      <c r="J42" s="39"/>
      <c r="K42" s="57"/>
      <c r="L42" s="49"/>
      <c r="M42" s="38"/>
      <c r="N42" s="49"/>
    </row>
    <row r="43" spans="1:14" ht="12.75">
      <c r="A43" s="33" t="s">
        <v>195</v>
      </c>
      <c r="B43" s="33" t="s">
        <v>203</v>
      </c>
      <c r="C43" s="34">
        <v>100</v>
      </c>
      <c r="D43" s="34" t="str">
        <f t="array" ref="D43">INDEX('Synergy import (8232022)'!A$1:L$229,MATCH(C43,'Synergy import (8232022)'!D$1:D$229,0),8)</f>
        <v>Chep, Lawrence D.</v>
      </c>
      <c r="E43" s="34" t="str">
        <f t="array" ref="E43">INDEX('Synergy import (8232022)'!A$1:L$229,MATCH(C43,'Synergy import (8232022)'!D$1:D$229,0),7)</f>
        <v>Lawrence_D_Chep@mcpsmd.org</v>
      </c>
      <c r="F43" s="60" t="s">
        <v>166</v>
      </c>
      <c r="G43" s="44" t="s">
        <v>204</v>
      </c>
      <c r="H43" s="36" t="s">
        <v>206</v>
      </c>
      <c r="I43" s="55"/>
      <c r="J43" s="39"/>
      <c r="K43" s="46"/>
      <c r="L43" s="10"/>
      <c r="M43" s="39"/>
      <c r="N43" s="49"/>
    </row>
    <row r="44" spans="1:14" ht="25.5">
      <c r="A44" s="33" t="s">
        <v>92</v>
      </c>
      <c r="B44" s="33" t="s">
        <v>426</v>
      </c>
      <c r="C44" s="50">
        <v>776</v>
      </c>
      <c r="D44" s="34" t="str">
        <f t="array" ref="D44">INDEX('Synergy import (8232022)'!A$1:L$229,MATCH(C44,'Synergy import (8232022)'!D$1:D$229,0),8)</f>
        <v>Clark-Harrison, Arienne M.</v>
      </c>
      <c r="E44" s="34" t="str">
        <f t="array" ref="E44">INDEX('Synergy import (8232022)'!A$1:L$229,MATCH(C44,'Synergy import (8232022)'!D$1:D$229,0),7)</f>
        <v>Arienne_M_Clark-Harrison@mcpsmd.org</v>
      </c>
      <c r="F44" s="51" t="s">
        <v>661</v>
      </c>
      <c r="G44" s="44" t="s">
        <v>376</v>
      </c>
      <c r="H44" s="36" t="s">
        <v>327</v>
      </c>
      <c r="I44" s="55"/>
      <c r="J44" s="39"/>
      <c r="K44" s="46"/>
      <c r="L44" s="10"/>
      <c r="M44" s="39"/>
      <c r="N44" s="49"/>
    </row>
    <row r="45" spans="1:14" ht="12.75">
      <c r="A45" s="33" t="s">
        <v>29</v>
      </c>
      <c r="B45" s="33" t="s">
        <v>515</v>
      </c>
      <c r="C45" s="50">
        <v>156</v>
      </c>
      <c r="D45" s="34" t="str">
        <f t="array" ref="D45">INDEX('Synergy import (8232022)'!A$1:L$229,MATCH(C45,'Synergy import (8232022)'!D$1:D$229,0),8)</f>
        <v>Clark, Cheryl A.</v>
      </c>
      <c r="E45" s="34" t="str">
        <f t="array" ref="E45">INDEX('Synergy import (8232022)'!A$1:L$229,MATCH(C45,'Synergy import (8232022)'!D$1:D$229,0),7)</f>
        <v>Cheryl_Clark@mcpsmd.org</v>
      </c>
      <c r="F45" s="56" t="s">
        <v>174</v>
      </c>
      <c r="G45" s="44" t="s">
        <v>32</v>
      </c>
      <c r="H45" s="36" t="s">
        <v>34</v>
      </c>
      <c r="I45" s="55"/>
      <c r="J45" s="39"/>
      <c r="K45" s="46"/>
      <c r="L45" s="10"/>
      <c r="M45" s="39"/>
      <c r="N45" s="49"/>
    </row>
    <row r="46" spans="1:14" ht="12.75">
      <c r="A46" s="33" t="s">
        <v>92</v>
      </c>
      <c r="B46" s="33" t="s">
        <v>464</v>
      </c>
      <c r="C46" s="50">
        <v>766</v>
      </c>
      <c r="D46" s="34" t="str">
        <f t="array" ref="D46">INDEX('Synergy import (8232022)'!A$1:L$229,MATCH(C46,'Synergy import (8232022)'!D$1:D$229,0),8)</f>
        <v>Cline, Jeffrey L.</v>
      </c>
      <c r="E46" s="34" t="str">
        <f t="array" ref="E46">INDEX('Synergy import (8232022)'!A$1:L$229,MATCH(C46,'Synergy import (8232022)'!D$1:D$229,0),7)</f>
        <v>Jeffrey_L_Cline@mcpsmd.org</v>
      </c>
      <c r="F46" s="56" t="s">
        <v>446</v>
      </c>
      <c r="G46" s="79" t="s">
        <v>447</v>
      </c>
      <c r="H46" s="36" t="s">
        <v>244</v>
      </c>
      <c r="I46" s="55"/>
      <c r="J46" s="39"/>
      <c r="K46" s="46"/>
      <c r="L46" s="10"/>
      <c r="M46" s="39"/>
      <c r="N46" s="49"/>
    </row>
    <row r="47" spans="1:14" ht="12.75">
      <c r="A47" s="33" t="s">
        <v>383</v>
      </c>
      <c r="B47" s="33" t="s">
        <v>413</v>
      </c>
      <c r="C47" s="50">
        <v>110</v>
      </c>
      <c r="D47" s="34" t="str">
        <f t="array" ref="D47">INDEX('Synergy import (8232022)'!A$1:L$229,MATCH(C47,'Synergy import (8232022)'!D$1:D$229,0),8)</f>
        <v>Coates, Wanda P.</v>
      </c>
      <c r="E47" s="34" t="str">
        <f t="array" ref="E47">INDEX('Synergy import (8232022)'!A$1:L$229,MATCH(C47,'Synergy import (8232022)'!D$1:D$229,0),7)</f>
        <v>Wanda_P_Coates@mcpsmd.org</v>
      </c>
      <c r="F47" s="56" t="s">
        <v>224</v>
      </c>
      <c r="G47" s="44" t="s">
        <v>414</v>
      </c>
      <c r="H47" s="36" t="s">
        <v>387</v>
      </c>
      <c r="I47" s="55"/>
      <c r="J47" s="39"/>
      <c r="K47" s="46"/>
      <c r="L47" s="10"/>
      <c r="M47" s="39"/>
      <c r="N47" s="49"/>
    </row>
    <row r="48" spans="1:14" ht="12.75">
      <c r="A48" s="33" t="s">
        <v>383</v>
      </c>
      <c r="B48" s="33" t="s">
        <v>525</v>
      </c>
      <c r="C48" s="50">
        <v>104</v>
      </c>
      <c r="D48" s="34" t="str">
        <f t="array" ref="D48">INDEX('Synergy import (8232022)'!A$1:L$229,MATCH(C48,'Synergy import (8232022)'!D$1:D$229,0),8)</f>
        <v>Cohen, Marc J.</v>
      </c>
      <c r="E48" s="34" t="str">
        <f t="array" ref="E48">INDEX('Synergy import (8232022)'!A$1:L$229,MATCH(C48,'Synergy import (8232022)'!D$1:D$229,0),7)</f>
        <v>Marc_J_Cohen@mcpsmd.org</v>
      </c>
      <c r="F48" s="51" t="s">
        <v>423</v>
      </c>
      <c r="G48" s="64" t="s">
        <v>490</v>
      </c>
      <c r="H48" s="36" t="s">
        <v>398</v>
      </c>
      <c r="I48" s="37" t="s">
        <v>187</v>
      </c>
      <c r="J48" s="38" t="s">
        <v>526</v>
      </c>
      <c r="K48" s="46"/>
      <c r="L48" s="10"/>
      <c r="M48" s="39"/>
      <c r="N48" s="49"/>
    </row>
    <row r="49" spans="1:14" ht="12.75">
      <c r="A49" s="33" t="s">
        <v>139</v>
      </c>
      <c r="B49" s="33" t="s">
        <v>382</v>
      </c>
      <c r="C49" s="50">
        <v>311</v>
      </c>
      <c r="D49" s="34" t="str">
        <f t="array" ref="D49">INDEX('Synergy import (8232022)'!A$1:L$229,MATCH(C49,'Synergy import (8232022)'!D$1:D$229,0),8)</f>
        <v>Coleman, Norman L.</v>
      </c>
      <c r="E49" s="34" t="str">
        <f t="array" ref="E49">INDEX('Synergy import (8232022)'!A$1:L$229,MATCH(C49,'Synergy import (8232022)'!D$1:D$229,0),7)</f>
        <v>Norman_L_Coleman@mcpsmd.org</v>
      </c>
      <c r="F49" s="51" t="s">
        <v>687</v>
      </c>
      <c r="G49" s="44" t="s">
        <v>234</v>
      </c>
      <c r="H49" s="36" t="s">
        <v>222</v>
      </c>
      <c r="I49" s="37" t="s">
        <v>144</v>
      </c>
      <c r="J49" s="39"/>
      <c r="K49" s="57"/>
      <c r="L49" s="49"/>
      <c r="M49" s="38"/>
      <c r="N49" s="49"/>
    </row>
    <row r="50" spans="1:14" ht="12.75">
      <c r="A50" s="33" t="s">
        <v>122</v>
      </c>
      <c r="B50" s="33" t="s">
        <v>603</v>
      </c>
      <c r="C50" s="34">
        <v>788</v>
      </c>
      <c r="D50" s="34" t="str">
        <f t="array" ref="D50">INDEX('Synergy import (8232022)'!A$1:L$229,MATCH(C50,'Synergy import (8232022)'!D$1:D$229,0),8)</f>
        <v>Collins, Nora E.</v>
      </c>
      <c r="E50" s="34" t="str">
        <f t="array" ref="E50">INDEX('Synergy import (8232022)'!A$1:L$229,MATCH(C50,'Synergy import (8232022)'!D$1:D$229,0),7)</f>
        <v>Nora_E_Collins@mcpsmd.org</v>
      </c>
      <c r="F50" s="43" t="s">
        <v>47</v>
      </c>
      <c r="G50" s="44" t="s">
        <v>535</v>
      </c>
      <c r="H50" s="36" t="s">
        <v>282</v>
      </c>
      <c r="I50" s="37" t="s">
        <v>319</v>
      </c>
      <c r="J50" s="39"/>
      <c r="K50" s="46"/>
      <c r="L50" s="49" t="s">
        <v>229</v>
      </c>
      <c r="M50" s="38" t="s">
        <v>659</v>
      </c>
      <c r="N50" s="49"/>
    </row>
    <row r="51" spans="1:14" ht="12.75">
      <c r="A51" s="33" t="s">
        <v>291</v>
      </c>
      <c r="B51" s="33" t="s">
        <v>523</v>
      </c>
      <c r="C51" s="50">
        <v>555</v>
      </c>
      <c r="D51" s="34" t="str">
        <f t="array" ref="D51">INDEX('Synergy import (8232022)'!A$1:L$229,MATCH(C51,'Synergy import (8232022)'!D$1:D$229,0),8)</f>
        <v>Cooke, Keely R.</v>
      </c>
      <c r="E51" s="34" t="str">
        <f t="array" ref="E51">INDEX('Synergy import (8232022)'!A$1:L$229,MATCH(C51,'Synergy import (8232022)'!D$1:D$229,0),7)</f>
        <v>Keely_R_Cooke@mcpsmd.org</v>
      </c>
      <c r="F51" s="56" t="s">
        <v>573</v>
      </c>
      <c r="G51" s="44" t="s">
        <v>54</v>
      </c>
      <c r="H51" s="36" t="s">
        <v>97</v>
      </c>
      <c r="I51" s="55"/>
      <c r="J51" s="39"/>
      <c r="K51" s="46"/>
      <c r="L51" s="10"/>
      <c r="M51" s="39"/>
      <c r="N51" s="49"/>
    </row>
    <row r="52" spans="1:14" ht="12.75" hidden="1">
      <c r="A52" s="33" t="s">
        <v>74</v>
      </c>
      <c r="B52" s="33" t="s">
        <v>593</v>
      </c>
      <c r="C52" s="50">
        <v>408</v>
      </c>
      <c r="D52" s="34" t="str">
        <f t="array" ref="D52">INDEX('Synergy import (8232022)'!A$1:L$229,MATCH(C52,'Synergy import (8232022)'!D$1:D$229,0),8)</f>
        <v>Cox, Karen M.</v>
      </c>
      <c r="E52" s="34" t="str">
        <f t="array" ref="E52">INDEX('Synergy import (8232022)'!A$1:L$229,MATCH(C52,'Synergy import (8232022)'!D$1:D$229,0),7)</f>
        <v>Karen_M_Cox@mcpsmd.org</v>
      </c>
      <c r="F52" s="51" t="s">
        <v>450</v>
      </c>
      <c r="G52" s="52"/>
      <c r="H52" s="36" t="s">
        <v>79</v>
      </c>
      <c r="I52" s="55"/>
      <c r="J52" s="39"/>
      <c r="K52" s="46"/>
      <c r="L52" s="10"/>
      <c r="M52" s="39"/>
      <c r="N52" s="49"/>
    </row>
    <row r="53" spans="1:14" ht="12.75">
      <c r="A53" s="33" t="s">
        <v>247</v>
      </c>
      <c r="B53" s="33" t="s">
        <v>543</v>
      </c>
      <c r="C53" s="34">
        <v>778</v>
      </c>
      <c r="D53" s="34" t="str">
        <f t="array" ref="D53">INDEX('Synergy import (8232022)'!A$1:L$229,MATCH(C53,'Synergy import (8232022)'!D$1:D$229,0),8)</f>
        <v>Crable, Peter V.</v>
      </c>
      <c r="E53" s="34" t="str">
        <f t="array" ref="E53">INDEX('Synergy import (8232022)'!A$1:L$229,MATCH(C53,'Synergy import (8232022)'!D$1:D$229,0),7)</f>
        <v>Peter_V_Crable@mcpsmd.org</v>
      </c>
      <c r="F53" s="43" t="s">
        <v>728</v>
      </c>
      <c r="G53" s="44" t="s">
        <v>348</v>
      </c>
      <c r="H53" s="36" t="s">
        <v>350</v>
      </c>
      <c r="I53" s="37" t="s">
        <v>246</v>
      </c>
      <c r="J53" s="39"/>
      <c r="K53" s="57"/>
      <c r="L53" s="49"/>
      <c r="M53" s="38"/>
      <c r="N53" s="49"/>
    </row>
    <row r="54" spans="1:14" ht="12.75" hidden="1">
      <c r="A54" s="33" t="s">
        <v>195</v>
      </c>
      <c r="B54" s="33" t="s">
        <v>230</v>
      </c>
      <c r="C54" s="50">
        <v>351</v>
      </c>
      <c r="D54" s="34" t="str">
        <f t="array" ref="D54">INDEX('Synergy import (8232022)'!A$1:L$229,MATCH(C54,'Synergy import (8232022)'!D$1:D$229,0),8)</f>
        <v>Craemer, Mark E.</v>
      </c>
      <c r="E54" s="34" t="str">
        <f t="array" ref="E54">INDEX('Synergy import (8232022)'!A$1:L$229,MATCH(C54,'Synergy import (8232022)'!D$1:D$229,0),7)</f>
        <v>Mark_Craemer@mcpsmd.org</v>
      </c>
      <c r="F54" s="56" t="s">
        <v>231</v>
      </c>
      <c r="G54" s="52"/>
      <c r="H54" s="36" t="s">
        <v>200</v>
      </c>
      <c r="I54" s="55"/>
      <c r="J54" s="39"/>
      <c r="K54" s="57"/>
      <c r="L54" s="49"/>
      <c r="M54" s="38"/>
      <c r="N54" s="49"/>
    </row>
    <row r="55" spans="1:14" ht="12.75">
      <c r="A55" s="33" t="s">
        <v>195</v>
      </c>
      <c r="B55" s="33" t="s">
        <v>335</v>
      </c>
      <c r="C55" s="50">
        <v>340</v>
      </c>
      <c r="D55" s="34" t="str">
        <f t="array" ref="D55">INDEX('Synergy import (8232022)'!A$1:L$229,MATCH(C55,'Synergy import (8232022)'!D$1:D$229,0),8)</f>
        <v>Curry, Scott T.</v>
      </c>
      <c r="E55" s="34" t="str">
        <f t="array" ref="E55">INDEX('Synergy import (8232022)'!A$1:L$229,MATCH(C55,'Synergy import (8232022)'!D$1:D$229,0),7)</f>
        <v>Scott_T_Curry@mcpsmd.org</v>
      </c>
      <c r="F55" s="56" t="s">
        <v>231</v>
      </c>
      <c r="G55" s="44" t="s">
        <v>336</v>
      </c>
      <c r="H55" s="36" t="s">
        <v>206</v>
      </c>
      <c r="I55" s="55"/>
      <c r="J55" s="39"/>
      <c r="K55" s="46"/>
      <c r="L55" s="10"/>
      <c r="M55" s="39"/>
      <c r="N55" s="49"/>
    </row>
    <row r="56" spans="1:14" ht="25.5">
      <c r="A56" s="33" t="s">
        <v>139</v>
      </c>
      <c r="B56" s="33" t="s">
        <v>606</v>
      </c>
      <c r="C56" s="50">
        <v>811</v>
      </c>
      <c r="D56" s="34" t="str">
        <f t="array" ref="D56">INDEX('Synergy import (8232022)'!A$1:L$229,MATCH(C56,'Synergy import (8232022)'!D$1:D$229,0),8)</f>
        <v>de los Santos, Virginia A.</v>
      </c>
      <c r="E56" s="34" t="str">
        <f t="array" ref="E56">INDEX('Synergy import (8232022)'!A$1:L$229,MATCH(C56,'Synergy import (8232022)'!D$1:D$229,0),7)</f>
        <v>Virginia_A_DeLosSantos@mcpsmd.org</v>
      </c>
      <c r="F56" s="51" t="s">
        <v>649</v>
      </c>
      <c r="G56" s="44" t="s">
        <v>607</v>
      </c>
      <c r="H56" s="36" t="s">
        <v>142</v>
      </c>
      <c r="I56" s="84"/>
      <c r="J56" s="39"/>
      <c r="K56" s="46"/>
      <c r="L56" s="10"/>
      <c r="M56" s="38"/>
      <c r="N56" s="49"/>
    </row>
    <row r="57" spans="1:14" ht="21.75" customHeight="1">
      <c r="A57" s="33" t="s">
        <v>52</v>
      </c>
      <c r="B57" s="33" t="s">
        <v>436</v>
      </c>
      <c r="C57" s="34">
        <v>201</v>
      </c>
      <c r="D57" s="34" t="str">
        <f t="array" ref="D57">INDEX('Synergy import (8232022)'!A$1:L$229,MATCH(C57,'Synergy import (8232022)'!D$1:D$229,0),8)</f>
        <v>Deeny, Alicia M.</v>
      </c>
      <c r="E57" s="34" t="str">
        <f t="array" ref="E57">INDEX('Synergy import (8232022)'!A$1:L$229,MATCH(C57,'Synergy import (8232022)'!D$1:D$229,0),7)</f>
        <v>Alicia_M_Deeny@mcpsmd.org</v>
      </c>
      <c r="F57" s="60" t="s">
        <v>437</v>
      </c>
      <c r="G57" s="44" t="s">
        <v>438</v>
      </c>
      <c r="H57" s="36" t="s">
        <v>59</v>
      </c>
      <c r="I57" s="55"/>
      <c r="J57" s="59"/>
      <c r="K57" s="46"/>
      <c r="L57" s="49" t="s">
        <v>253</v>
      </c>
      <c r="M57" s="38" t="s">
        <v>665</v>
      </c>
      <c r="N57" s="49"/>
    </row>
    <row r="58" spans="1:14" ht="12.75">
      <c r="A58" s="33" t="s">
        <v>29</v>
      </c>
      <c r="B58" s="33" t="s">
        <v>227</v>
      </c>
      <c r="C58" s="34">
        <v>702</v>
      </c>
      <c r="D58" s="34" t="str">
        <f t="array" ref="D58">INDEX('Synergy import (8232022)'!A$1:L$229,MATCH(C58,'Synergy import (8232022)'!D$1:D$229,0),8)</f>
        <v>Delisle, Spencer</v>
      </c>
      <c r="E58" s="34" t="str">
        <f t="array" ref="E58">INDEX('Synergy import (8232022)'!A$1:L$229,MATCH(C58,'Synergy import (8232022)'!D$1:D$229,0),7)</f>
        <v>Spencer_Delisle@mcpsmd.org</v>
      </c>
      <c r="F58" s="60" t="s">
        <v>190</v>
      </c>
      <c r="G58" s="44" t="s">
        <v>191</v>
      </c>
      <c r="H58" s="36" t="s">
        <v>34</v>
      </c>
      <c r="I58" s="55"/>
      <c r="J58" s="39"/>
      <c r="K58" s="46"/>
      <c r="L58" s="10"/>
      <c r="M58" s="39"/>
      <c r="N58" s="49"/>
    </row>
    <row r="59" spans="1:14" ht="25.5">
      <c r="A59" s="33" t="s">
        <v>92</v>
      </c>
      <c r="B59" s="33" t="s">
        <v>478</v>
      </c>
      <c r="C59" s="50">
        <v>761</v>
      </c>
      <c r="D59" s="34" t="str">
        <f t="array" ref="D59">INDEX('Synergy import (8232022)'!A$1:L$229,MATCH(C59,'Synergy import (8232022)'!D$1:D$229,0),8)</f>
        <v>Denney, Jamila W.</v>
      </c>
      <c r="E59" s="34" t="str">
        <f t="array" ref="E59">INDEX('Synergy import (8232022)'!A$1:L$229,MATCH(C59,'Synergy import (8232022)'!D$1:D$229,0),7)</f>
        <v>Jamila_W_Denney@mcpsmd.org</v>
      </c>
      <c r="F59" s="51" t="s">
        <v>540</v>
      </c>
      <c r="G59" s="44" t="s">
        <v>376</v>
      </c>
      <c r="H59" s="36" t="s">
        <v>289</v>
      </c>
      <c r="I59" s="55"/>
      <c r="J59" s="39"/>
      <c r="K59" s="46"/>
      <c r="L59" s="10"/>
      <c r="M59" s="39"/>
      <c r="N59" s="49"/>
    </row>
    <row r="60" spans="1:14" ht="12.75">
      <c r="A60" s="33" t="s">
        <v>52</v>
      </c>
      <c r="B60" s="33" t="s">
        <v>576</v>
      </c>
      <c r="C60" s="34">
        <v>206</v>
      </c>
      <c r="D60" s="34" t="str">
        <f t="array" ref="D60">INDEX('Synergy import (8232022)'!A$1:L$229,MATCH(C60,'Synergy import (8232022)'!D$1:D$229,0),8)</f>
        <v>Devan, Matthew A.</v>
      </c>
      <c r="E60" s="34" t="str">
        <f t="array" ref="E60">INDEX('Synergy import (8232022)'!A$1:L$229,MATCH(C60,'Synergy import (8232022)'!D$1:D$229,0),7)</f>
        <v>Matthew_A_Devan@mcpsmd.org</v>
      </c>
      <c r="F60" s="60" t="s">
        <v>540</v>
      </c>
      <c r="G60" s="44" t="s">
        <v>438</v>
      </c>
      <c r="H60" s="36" t="s">
        <v>59</v>
      </c>
      <c r="I60" s="37" t="s">
        <v>467</v>
      </c>
      <c r="J60" s="39"/>
      <c r="K60" s="57"/>
      <c r="L60" s="49"/>
      <c r="M60" s="38" t="s">
        <v>666</v>
      </c>
      <c r="N60" s="49"/>
    </row>
    <row r="61" spans="1:14" ht="12.75">
      <c r="A61" s="33" t="s">
        <v>291</v>
      </c>
      <c r="B61" s="33" t="s">
        <v>304</v>
      </c>
      <c r="C61" s="50">
        <v>551</v>
      </c>
      <c r="D61" s="34" t="str">
        <f t="array" ref="D61">INDEX('Synergy import (8232022)'!A$1:L$229,MATCH(C61,'Synergy import (8232022)'!D$1:D$229,0),8)</f>
        <v>Dimmick, Cary D.</v>
      </c>
      <c r="E61" s="34" t="str">
        <f t="array" ref="E61">INDEX('Synergy import (8232022)'!A$1:L$229,MATCH(C61,'Synergy import (8232022)'!D$1:D$229,0),7)</f>
        <v>Cary_Dimmick@mcpsmd.org</v>
      </c>
      <c r="F61" s="56" t="s">
        <v>305</v>
      </c>
      <c r="G61" s="44" t="s">
        <v>300</v>
      </c>
      <c r="H61" s="36" t="s">
        <v>97</v>
      </c>
      <c r="I61" s="55"/>
      <c r="J61" s="38" t="s">
        <v>306</v>
      </c>
      <c r="K61" s="57"/>
      <c r="L61" s="49"/>
      <c r="M61" s="38" t="s">
        <v>667</v>
      </c>
      <c r="N61" s="49"/>
    </row>
    <row r="62" spans="1:14" ht="12.75">
      <c r="A62" s="33" t="s">
        <v>291</v>
      </c>
      <c r="B62" s="33" t="s">
        <v>332</v>
      </c>
      <c r="C62" s="50">
        <v>546</v>
      </c>
      <c r="D62" s="34" t="str">
        <f t="array" ref="D62">INDEX('Synergy import (8232022)'!A$1:L$229,MATCH(C62,'Synergy import (8232022)'!D$1:D$229,0),8)</f>
        <v>Dinga, Stephanie R.</v>
      </c>
      <c r="E62" s="34" t="str">
        <f t="array" ref="E62">INDEX('Synergy import (8232022)'!A$1:L$229,MATCH(C62,'Synergy import (8232022)'!D$1:D$229,0),7)</f>
        <v>Stephanie_R_Dinga@mcpsmd.org</v>
      </c>
      <c r="F62" s="56" t="s">
        <v>150</v>
      </c>
      <c r="G62" s="44" t="s">
        <v>333</v>
      </c>
      <c r="H62" s="36" t="s">
        <v>672</v>
      </c>
      <c r="I62" s="55"/>
      <c r="J62" s="39"/>
      <c r="K62" s="46"/>
      <c r="L62" s="10"/>
      <c r="M62" s="39"/>
      <c r="N62" s="49"/>
    </row>
    <row r="63" spans="1:14" ht="12.75" hidden="1">
      <c r="A63" s="33" t="s">
        <v>41</v>
      </c>
      <c r="B63" s="33" t="s">
        <v>609</v>
      </c>
      <c r="C63" s="50">
        <v>427</v>
      </c>
      <c r="D63" s="34" t="str">
        <f t="array" ref="D63">INDEX('Synergy import (8232022)'!A$1:L$229,MATCH(C63,'Synergy import (8232022)'!D$1:D$229,0),8)</f>
        <v>Dodd, Robert W.</v>
      </c>
      <c r="E63" s="34" t="str">
        <f t="array" ref="E63">INDEX('Synergy import (8232022)'!A$1:L$229,MATCH(C63,'Synergy import (8232022)'!D$1:D$229,0),7)</f>
        <v>Robert_W_Dodd@mcpsmd.org</v>
      </c>
      <c r="F63" s="51" t="s">
        <v>610</v>
      </c>
      <c r="G63" s="52"/>
      <c r="H63" s="36" t="s">
        <v>175</v>
      </c>
      <c r="I63" s="55"/>
      <c r="J63" s="39"/>
      <c r="K63" s="46"/>
      <c r="L63" s="10"/>
      <c r="M63" s="38" t="s">
        <v>669</v>
      </c>
      <c r="N63" s="49"/>
    </row>
    <row r="64" spans="1:14" ht="12.75">
      <c r="A64" s="33" t="s">
        <v>291</v>
      </c>
      <c r="B64" s="33" t="s">
        <v>308</v>
      </c>
      <c r="C64" s="34">
        <v>554</v>
      </c>
      <c r="D64" s="34" t="str">
        <f t="array" ref="D64">INDEX('Synergy import (8232022)'!A$1:L$229,MATCH(C64,'Synergy import (8232022)'!D$1:D$229,0),8)</f>
        <v>Dolan Rindner, Ann B.</v>
      </c>
      <c r="E64" s="34" t="str">
        <f t="array" ref="E64">INDEX('Synergy import (8232022)'!A$1:L$229,MATCH(C64,'Synergy import (8232022)'!D$1:D$229,0),7)</f>
        <v>Ann_B_Dolan@mcpsmd.org</v>
      </c>
      <c r="F64" s="43" t="s">
        <v>293</v>
      </c>
      <c r="G64" s="44" t="s">
        <v>300</v>
      </c>
      <c r="H64" s="36" t="s">
        <v>72</v>
      </c>
      <c r="I64" s="37" t="s">
        <v>678</v>
      </c>
      <c r="J64" s="39"/>
      <c r="K64" s="57"/>
      <c r="L64" s="49"/>
      <c r="M64" s="38" t="s">
        <v>670</v>
      </c>
      <c r="N64" s="49"/>
    </row>
    <row r="65" spans="1:14" ht="12.75">
      <c r="A65" s="33" t="s">
        <v>139</v>
      </c>
      <c r="B65" s="33" t="s">
        <v>159</v>
      </c>
      <c r="C65" s="50">
        <v>310</v>
      </c>
      <c r="D65" s="34" t="str">
        <f t="array" ref="D65">INDEX('Synergy import (8232022)'!A$1:L$229,MATCH(C65,'Synergy import (8232022)'!D$1:D$229,0),8)</f>
        <v>Donohue, Kristine L.</v>
      </c>
      <c r="E65" s="34" t="str">
        <f t="array" ref="E65">INDEX('Synergy import (8232022)'!A$1:L$229,MATCH(C65,'Synergy import (8232022)'!D$1:D$229,0),7)</f>
        <v>Kristine_L_Donohue@mcpsmd.org</v>
      </c>
      <c r="F65" s="51" t="s">
        <v>645</v>
      </c>
      <c r="G65" s="44" t="s">
        <v>125</v>
      </c>
      <c r="H65" s="36" t="s">
        <v>160</v>
      </c>
      <c r="I65" s="55"/>
      <c r="J65" s="59"/>
      <c r="K65" s="46"/>
      <c r="L65" s="10"/>
      <c r="M65" s="39"/>
      <c r="N65" s="49"/>
    </row>
    <row r="66" spans="1:14" ht="12.75">
      <c r="A66" s="33" t="s">
        <v>10</v>
      </c>
      <c r="B66" s="33" t="s">
        <v>316</v>
      </c>
      <c r="C66" s="50">
        <v>786</v>
      </c>
      <c r="D66" s="34" t="str">
        <f t="array" ref="D66">INDEX('Synergy import (8232022)'!A$1:L$229,MATCH(C66,'Synergy import (8232022)'!D$1:D$229,0),8)</f>
        <v>Ennis, Mary Jane Q.</v>
      </c>
      <c r="E66" s="34" t="str">
        <f t="array" ref="E66">INDEX('Synergy import (8232022)'!A$1:L$229,MATCH(C66,'Synergy import (8232022)'!D$1:D$229,0),7)</f>
        <v>MaryJane_Q_Ennis@mcpsmd.org</v>
      </c>
      <c r="F66" s="75" t="s">
        <v>221</v>
      </c>
      <c r="G66" s="44" t="s">
        <v>317</v>
      </c>
      <c r="H66" s="36" t="s">
        <v>127</v>
      </c>
      <c r="I66" s="37" t="s">
        <v>319</v>
      </c>
      <c r="J66" s="39"/>
      <c r="K66" s="46"/>
      <c r="L66" s="10"/>
      <c r="M66" s="39"/>
      <c r="N66" s="49"/>
    </row>
    <row r="67" spans="1:14" ht="12.75">
      <c r="A67" s="33" t="s">
        <v>148</v>
      </c>
      <c r="B67" s="33" t="s">
        <v>441</v>
      </c>
      <c r="C67" s="34">
        <v>115</v>
      </c>
      <c r="D67" s="34" t="str">
        <f t="array" ref="D67">INDEX('Synergy import (8232022)'!A$1:L$229,MATCH(C67,'Synergy import (8232022)'!D$1:D$229,0),8)</f>
        <v>Escobar, Barbara M.</v>
      </c>
      <c r="E67" s="34" t="str">
        <f t="array" ref="E67">INDEX('Synergy import (8232022)'!A$1:L$229,MATCH(C67,'Synergy import (8232022)'!D$1:D$229,0),7)</f>
        <v>Barbara_M_Escobar@mcpsmd.org</v>
      </c>
      <c r="F67" s="60" t="s">
        <v>442</v>
      </c>
      <c r="G67" s="44" t="s">
        <v>443</v>
      </c>
      <c r="H67" s="36" t="s">
        <v>151</v>
      </c>
      <c r="I67" s="37" t="s">
        <v>444</v>
      </c>
      <c r="J67" s="39"/>
      <c r="K67" s="46"/>
      <c r="L67" s="10"/>
      <c r="M67" s="39"/>
      <c r="N67" s="49"/>
    </row>
    <row r="68" spans="1:14" ht="12.75">
      <c r="A68" s="33" t="s">
        <v>154</v>
      </c>
      <c r="B68" s="33" t="s">
        <v>404</v>
      </c>
      <c r="C68" s="50">
        <v>510</v>
      </c>
      <c r="D68" s="34" t="str">
        <f t="array" ref="D68">INDEX('Synergy import (8232022)'!A$1:L$229,MATCH(C68,'Synergy import (8232022)'!D$1:D$229,0),8)</f>
        <v>Evans, Leroy C.</v>
      </c>
      <c r="E68" s="34" t="str">
        <f t="array" ref="E68">INDEX('Synergy import (8232022)'!A$1:L$229,MATCH(C68,'Synergy import (8232022)'!D$1:D$229,0),7)</f>
        <v>Leroy_C_Evans@mcpsmd.org</v>
      </c>
      <c r="F68" s="56" t="s">
        <v>405</v>
      </c>
      <c r="G68" s="44" t="s">
        <v>333</v>
      </c>
      <c r="H68" s="36" t="s">
        <v>157</v>
      </c>
      <c r="I68" s="37" t="s">
        <v>294</v>
      </c>
      <c r="J68" s="39"/>
      <c r="K68" s="57"/>
      <c r="L68" s="49"/>
      <c r="M68" s="38" t="s">
        <v>671</v>
      </c>
      <c r="N68" s="49"/>
    </row>
    <row r="69" spans="1:14" ht="12.75">
      <c r="A69" s="33" t="s">
        <v>139</v>
      </c>
      <c r="B69" s="33" t="s">
        <v>521</v>
      </c>
      <c r="C69" s="34">
        <v>307</v>
      </c>
      <c r="D69" s="34" t="str">
        <f t="array" ref="D69">INDEX('Synergy import (8232022)'!A$1:L$229,MATCH(C69,'Synergy import (8232022)'!D$1:D$229,0),8)</f>
        <v>Ffolkes, Annette M.</v>
      </c>
      <c r="E69" s="34" t="str">
        <f t="array" ref="E69">INDEX('Synergy import (8232022)'!A$1:L$229,MATCH(C69,'Synergy import (8232022)'!D$1:D$229,0),7)</f>
        <v>Annette_M_Ffolkes@mcpsmd.org</v>
      </c>
      <c r="F69" s="60" t="s">
        <v>684</v>
      </c>
      <c r="G69" s="44" t="s">
        <v>103</v>
      </c>
      <c r="H69" s="36" t="s">
        <v>222</v>
      </c>
      <c r="I69" s="37" t="s">
        <v>202</v>
      </c>
      <c r="J69" s="39"/>
      <c r="K69" s="57"/>
      <c r="L69" s="49"/>
      <c r="M69" s="38"/>
      <c r="N69" s="49"/>
    </row>
    <row r="70" spans="1:14" ht="25.5">
      <c r="A70" s="33" t="s">
        <v>154</v>
      </c>
      <c r="B70" s="33" t="s">
        <v>274</v>
      </c>
      <c r="C70" s="50">
        <v>549</v>
      </c>
      <c r="D70" s="34" t="str">
        <f t="array" ref="D70">INDEX('Synergy import (8232022)'!A$1:L$229,MATCH(C70,'Synergy import (8232022)'!D$1:D$229,0),8)</f>
        <v>Fine, Joshua S.</v>
      </c>
      <c r="E70" s="34" t="str">
        <f t="array" ref="E70">INDEX('Synergy import (8232022)'!A$1:L$229,MATCH(C70,'Synergy import (8232022)'!D$1:D$229,0),7)</f>
        <v>Joshua_Fine@mcpsmd.org</v>
      </c>
      <c r="F70" s="56" t="s">
        <v>275</v>
      </c>
      <c r="G70" s="44" t="s">
        <v>276</v>
      </c>
      <c r="H70" s="36" t="s">
        <v>171</v>
      </c>
      <c r="I70" s="55"/>
      <c r="J70" s="39"/>
      <c r="K70" s="57"/>
      <c r="L70" s="49"/>
      <c r="M70" s="38"/>
      <c r="N70" s="49"/>
    </row>
    <row r="71" spans="1:14" ht="12.75">
      <c r="A71" s="33" t="s">
        <v>45</v>
      </c>
      <c r="B71" s="33" t="s">
        <v>278</v>
      </c>
      <c r="C71" s="50">
        <v>506</v>
      </c>
      <c r="D71" s="34" t="str">
        <f t="array" ref="D71">INDEX('Synergy import (8232022)'!A$1:L$229,MATCH(C71,'Synergy import (8232022)'!D$1:D$229,0),8)</f>
        <v>Fish, Angie L.</v>
      </c>
      <c r="E71" s="34" t="str">
        <f t="array" ref="E71">INDEX('Synergy import (8232022)'!A$1:L$229,MATCH(C71,'Synergy import (8232022)'!D$1:D$229,0),7)</f>
        <v>Angie_L_Fish@mcpsmd.org</v>
      </c>
      <c r="F71" s="56" t="s">
        <v>279</v>
      </c>
      <c r="G71" s="44" t="s">
        <v>280</v>
      </c>
      <c r="H71" s="36" t="s">
        <v>282</v>
      </c>
      <c r="I71" s="55"/>
      <c r="J71" s="39"/>
      <c r="K71" s="57"/>
      <c r="L71" s="49"/>
      <c r="M71" s="38"/>
      <c r="N71" s="49"/>
    </row>
    <row r="72" spans="1:14" ht="12.75">
      <c r="A72" s="33" t="s">
        <v>36</v>
      </c>
      <c r="B72" s="33" t="s">
        <v>37</v>
      </c>
      <c r="C72" s="50">
        <v>333</v>
      </c>
      <c r="D72" s="34" t="str">
        <f t="array" ref="D72">INDEX('Synergy import (8232022)'!A$1:L$229,MATCH(C72,'Synergy import (8232022)'!D$1:D$229,0),8)</f>
        <v>Fortune, Michelle L.</v>
      </c>
      <c r="E72" s="34" t="str">
        <f t="array" ref="E72">INDEX('Synergy import (8232022)'!A$1:L$229,MATCH(C72,'Synergy import (8232022)'!D$1:D$229,0),7)</f>
        <v>Michelle_L_Fortune@mcpsmd.org</v>
      </c>
      <c r="F72" s="51" t="s">
        <v>38</v>
      </c>
      <c r="G72" s="44" t="s">
        <v>39</v>
      </c>
      <c r="H72" s="36" t="s">
        <v>269</v>
      </c>
      <c r="I72" s="55"/>
      <c r="J72" s="39"/>
      <c r="K72" s="46"/>
      <c r="L72" s="10"/>
      <c r="M72" s="39"/>
      <c r="N72" s="49"/>
    </row>
    <row r="73" spans="1:14" ht="12.75">
      <c r="A73" s="33" t="s">
        <v>36</v>
      </c>
      <c r="B73" s="33" t="s">
        <v>309</v>
      </c>
      <c r="C73" s="50">
        <v>313</v>
      </c>
      <c r="D73" s="34" t="str">
        <f t="array" ref="D73">INDEX('Synergy import (8232022)'!A$1:L$229,MATCH(C73,'Synergy import (8232022)'!D$1:D$229,0),8)</f>
        <v>Fuller, Dorothea A.</v>
      </c>
      <c r="E73" s="34" t="str">
        <f t="array" ref="E73">INDEX('Synergy import (8232022)'!A$1:L$229,MATCH(C73,'Synergy import (8232022)'!D$1:D$229,0),7)</f>
        <v>Dorothea_Fuller@mcpsmd.org</v>
      </c>
      <c r="F73" s="51" t="s">
        <v>687</v>
      </c>
      <c r="G73" s="44" t="s">
        <v>114</v>
      </c>
      <c r="H73" s="36" t="s">
        <v>646</v>
      </c>
      <c r="I73" s="37" t="s">
        <v>312</v>
      </c>
      <c r="J73" s="39"/>
      <c r="K73" s="46"/>
      <c r="L73" s="10"/>
      <c r="M73" s="38" t="s">
        <v>674</v>
      </c>
      <c r="N73" s="49"/>
    </row>
    <row r="74" spans="1:14" ht="12.75">
      <c r="A74" s="33" t="s">
        <v>92</v>
      </c>
      <c r="B74" s="33" t="s">
        <v>565</v>
      </c>
      <c r="C74" s="50">
        <v>754</v>
      </c>
      <c r="D74" s="34" t="str">
        <f t="array" ref="D74">INDEX('Synergy import (8232022)'!A$1:L$229,MATCH(C74,'Synergy import (8232022)'!D$1:D$229,0),8)</f>
        <v>Gadsden, Zadia T.</v>
      </c>
      <c r="E74" s="34" t="str">
        <f t="array" ref="E74">INDEX('Synergy import (8232022)'!A$1:L$229,MATCH(C74,'Synergy import (8232022)'!D$1:D$229,0),7)</f>
        <v>Zadia_T_Gadsden@mcpsmd.org</v>
      </c>
      <c r="F74" s="51" t="s">
        <v>480</v>
      </c>
      <c r="G74" s="44" t="s">
        <v>95</v>
      </c>
      <c r="H74" s="36" t="s">
        <v>239</v>
      </c>
      <c r="I74" s="55"/>
      <c r="J74" s="39"/>
      <c r="K74" s="46"/>
      <c r="L74" s="10"/>
      <c r="M74" s="39"/>
      <c r="N74" s="49"/>
    </row>
    <row r="75" spans="1:14" ht="12.75" hidden="1">
      <c r="A75" s="33" t="s">
        <v>89</v>
      </c>
      <c r="B75" s="33" t="s">
        <v>511</v>
      </c>
      <c r="C75" s="50">
        <v>916</v>
      </c>
      <c r="D75" s="34" t="str">
        <f t="array" ref="D75">INDEX('Synergy import (8232022)'!A$1:L$229,MATCH(C75,'Synergy import (8232022)'!D$1:D$229,0),8)</f>
        <v>Gaillard-Jones, Lisa M.</v>
      </c>
      <c r="E75" s="34" t="str">
        <f t="array" ref="E75">INDEX('Synergy import (8232022)'!A$1:L$229,MATCH(C75,'Synergy import (8232022)'!D$1:D$229,0),7)</f>
        <v>Lisa_M_Gaillard-Jones@mcpsmd.org</v>
      </c>
      <c r="F75" s="56" t="s">
        <v>261</v>
      </c>
      <c r="G75" s="82"/>
      <c r="H75" s="36" t="s">
        <v>87</v>
      </c>
      <c r="I75" s="55"/>
      <c r="J75" s="39"/>
      <c r="K75" s="46"/>
      <c r="L75" s="10"/>
      <c r="M75" s="38" t="s">
        <v>676</v>
      </c>
      <c r="N75" s="49"/>
    </row>
    <row r="76" spans="1:14" ht="12.75">
      <c r="A76" s="33" t="s">
        <v>129</v>
      </c>
      <c r="B76" s="33" t="s">
        <v>502</v>
      </c>
      <c r="C76" s="34">
        <v>105</v>
      </c>
      <c r="D76" s="34" t="str">
        <f t="array" ref="D76">INDEX('Synergy import (8232022)'!A$1:L$229,MATCH(C76,'Synergy import (8232022)'!D$1:D$229,0),8)</f>
        <v>Garcia, Daniel E.</v>
      </c>
      <c r="E76" s="34" t="str">
        <f t="array" ref="E76">INDEX('Synergy import (8232022)'!A$1:L$229,MATCH(C76,'Synergy import (8232022)'!D$1:D$229,0),7)</f>
        <v>Daniel_E_Garcia@mcpsmd.org</v>
      </c>
      <c r="F76" s="60" t="s">
        <v>503</v>
      </c>
      <c r="G76" s="44" t="s">
        <v>370</v>
      </c>
      <c r="H76" s="36" t="s">
        <v>167</v>
      </c>
      <c r="I76" s="37" t="s">
        <v>504</v>
      </c>
      <c r="J76" s="39"/>
      <c r="K76" s="57"/>
      <c r="L76" s="49"/>
      <c r="M76" s="38"/>
      <c r="N76" s="49"/>
    </row>
    <row r="77" spans="1:14" ht="12.75">
      <c r="A77" s="33" t="s">
        <v>284</v>
      </c>
      <c r="B77" s="33" t="s">
        <v>458</v>
      </c>
      <c r="C77" s="50">
        <v>796</v>
      </c>
      <c r="D77" s="34" t="str">
        <f t="array" ref="D77">INDEX('Synergy import (8232022)'!A$1:L$229,MATCH(C77,'Synergy import (8232022)'!D$1:D$229,0),8)</f>
        <v>Garrick, Jonathan L.</v>
      </c>
      <c r="E77" s="34" t="str">
        <f t="array" ref="E77">INDEX('Synergy import (8232022)'!A$1:L$229,MATCH(C77,'Synergy import (8232022)'!D$1:D$229,0),7)</f>
        <v>Jonathan_L_Garrick@mcpsmd.org</v>
      </c>
      <c r="F77" s="51" t="s">
        <v>459</v>
      </c>
      <c r="G77" s="44" t="s">
        <v>460</v>
      </c>
      <c r="H77" s="36" t="s">
        <v>289</v>
      </c>
      <c r="I77" s="55"/>
      <c r="J77" s="38" t="s">
        <v>462</v>
      </c>
      <c r="K77" s="46"/>
      <c r="L77" s="49" t="s">
        <v>307</v>
      </c>
      <c r="M77" s="38" t="s">
        <v>677</v>
      </c>
      <c r="N77" s="49"/>
    </row>
    <row r="78" spans="1:14" ht="12.75">
      <c r="A78" s="33" t="s">
        <v>92</v>
      </c>
      <c r="B78" s="33" t="s">
        <v>445</v>
      </c>
      <c r="C78" s="50">
        <v>791</v>
      </c>
      <c r="D78" s="34" t="str">
        <f t="array" ref="D78">INDEX('Synergy import (8232022)'!A$1:L$229,MATCH(C78,'Synergy import (8232022)'!D$1:D$229,0),8)</f>
        <v>Geiger, Robert S.</v>
      </c>
      <c r="E78" s="34" t="str">
        <f t="array" ref="E78">INDEX('Synergy import (8232022)'!A$1:L$229,MATCH(C78,'Synergy import (8232022)'!D$1:D$229,0),7)</f>
        <v>Robert_S_Geiger@mcpsmd.org</v>
      </c>
      <c r="F78" s="56" t="s">
        <v>446</v>
      </c>
      <c r="G78" s="79" t="s">
        <v>447</v>
      </c>
      <c r="H78" s="36" t="s">
        <v>244</v>
      </c>
      <c r="I78" s="37" t="s">
        <v>312</v>
      </c>
      <c r="J78" s="39"/>
      <c r="K78" s="46"/>
      <c r="L78" s="10"/>
      <c r="M78" s="38" t="s">
        <v>679</v>
      </c>
      <c r="N78" s="49"/>
    </row>
    <row r="79" spans="1:14" ht="12.75">
      <c r="A79" s="33" t="s">
        <v>29</v>
      </c>
      <c r="B79" s="33" t="s">
        <v>189</v>
      </c>
      <c r="C79" s="34">
        <v>706</v>
      </c>
      <c r="D79" s="34" t="str">
        <f t="array" ref="D79">INDEX('Synergy import (8232022)'!A$1:L$229,MATCH(C79,'Synergy import (8232022)'!D$1:D$229,0),8)</f>
        <v>Gilbertson, Holly A.</v>
      </c>
      <c r="E79" s="34" t="str">
        <f t="array" ref="E79">INDEX('Synergy import (8232022)'!A$1:L$229,MATCH(C79,'Synergy import (8232022)'!D$1:D$229,0),7)</f>
        <v>Holly_A_Gilbertson@mcpsmd.org</v>
      </c>
      <c r="F79" s="60" t="s">
        <v>190</v>
      </c>
      <c r="G79" s="44" t="s">
        <v>191</v>
      </c>
      <c r="H79" s="36" t="s">
        <v>193</v>
      </c>
      <c r="I79" s="55"/>
      <c r="J79" s="39"/>
      <c r="K79" s="57"/>
      <c r="L79" s="49"/>
      <c r="M79" s="38"/>
      <c r="N79" s="49"/>
    </row>
    <row r="80" spans="1:14" ht="12.75" hidden="1">
      <c r="A80" s="33" t="s">
        <v>69</v>
      </c>
      <c r="B80" s="33" t="s">
        <v>468</v>
      </c>
      <c r="C80" s="50">
        <v>502</v>
      </c>
      <c r="D80" s="34" t="str">
        <f t="array" ref="D80">INDEX('Synergy import (8232022)'!A$1:L$229,MATCH(C80,'Synergy import (8232022)'!D$1:D$229,0),8)</f>
        <v>Glawe, Carla</v>
      </c>
      <c r="E80" s="34" t="str">
        <f t="array" ref="E80">INDEX('Synergy import (8232022)'!A$1:L$229,MATCH(C80,'Synergy import (8232022)'!D$1:D$229,0),7)</f>
        <v>Carla_Glawe@mcpsmd.org</v>
      </c>
      <c r="F80" s="51" t="s">
        <v>117</v>
      </c>
      <c r="G80" s="52"/>
      <c r="H80" s="36" t="s">
        <v>120</v>
      </c>
      <c r="I80" s="55"/>
      <c r="J80" s="39"/>
      <c r="K80" s="46"/>
      <c r="L80" s="10"/>
      <c r="M80" s="39"/>
      <c r="N80" s="49"/>
    </row>
    <row r="81" spans="1:14" ht="12.75">
      <c r="A81" s="33" t="s">
        <v>429</v>
      </c>
      <c r="B81" s="33" t="s">
        <v>583</v>
      </c>
      <c r="C81" s="34">
        <v>545</v>
      </c>
      <c r="D81" s="34" t="str">
        <f t="array" ref="D81">INDEX('Synergy import (8232022)'!A$1:L$229,MATCH(C81,'Synergy import (8232022)'!D$1:D$229,0),8)</f>
        <v>Goddard, Carol L.</v>
      </c>
      <c r="E81" s="34" t="str">
        <f t="array" ref="E81">INDEX('Synergy import (8232022)'!A$1:L$229,MATCH(C81,'Synergy import (8232022)'!D$1:D$229,0),7)</f>
        <v>Carol_L_Goddard@mcpsmd.org</v>
      </c>
      <c r="F81" s="43" t="s">
        <v>737</v>
      </c>
      <c r="G81" s="44" t="s">
        <v>321</v>
      </c>
      <c r="H81" s="36" t="s">
        <v>585</v>
      </c>
      <c r="I81" s="55"/>
      <c r="J81" s="38" t="s">
        <v>587</v>
      </c>
      <c r="K81" s="46"/>
      <c r="L81" s="10"/>
      <c r="M81" s="39"/>
      <c r="N81" s="49"/>
    </row>
    <row r="82" spans="1:14" ht="12.75">
      <c r="A82" s="33" t="s">
        <v>139</v>
      </c>
      <c r="B82" s="33" t="s">
        <v>220</v>
      </c>
      <c r="C82" s="50">
        <v>808</v>
      </c>
      <c r="D82" s="34" t="str">
        <f t="array" ref="D82">INDEX('Synergy import (8232022)'!A$1:L$229,MATCH(C82,'Synergy import (8232022)'!D$1:D$229,0),8)</f>
        <v>Gorden, Sherri A.</v>
      </c>
      <c r="E82" s="34" t="str">
        <f t="array" ref="E82">INDEX('Synergy import (8232022)'!A$1:L$229,MATCH(C82,'Synergy import (8232022)'!D$1:D$229,0),7)</f>
        <v>Sherri_A_Gorden@mcpsmd.org</v>
      </c>
      <c r="F82" s="56" t="s">
        <v>221</v>
      </c>
      <c r="G82" s="70" t="s">
        <v>103</v>
      </c>
      <c r="H82" s="36" t="s">
        <v>222</v>
      </c>
      <c r="I82" s="55"/>
      <c r="J82" s="39"/>
      <c r="K82" s="46"/>
      <c r="L82" s="10"/>
      <c r="M82" s="39"/>
      <c r="N82" s="49"/>
    </row>
    <row r="83" spans="1:14" ht="12.75" hidden="1">
      <c r="A83" s="33" t="s">
        <v>421</v>
      </c>
      <c r="B83" s="33" t="s">
        <v>481</v>
      </c>
      <c r="C83" s="50">
        <v>247</v>
      </c>
      <c r="D83" s="34" t="str">
        <f t="array" ref="D83">INDEX('Synergy import (8232022)'!A$1:L$229,MATCH(C83,'Synergy import (8232022)'!D$1:D$229,0),8)</f>
        <v>Green, Jon</v>
      </c>
      <c r="E83" s="34" t="str">
        <f t="array" ref="E83">INDEX('Synergy import (8232022)'!A$1:L$229,MATCH(C83,'Synergy import (8232022)'!D$1:D$229,0),7)</f>
        <v>Jon_Green@mcpsmd.org</v>
      </c>
      <c r="F83" s="56" t="s">
        <v>482</v>
      </c>
      <c r="G83" s="52"/>
      <c r="H83" s="36" t="s">
        <v>424</v>
      </c>
      <c r="I83" s="55"/>
      <c r="J83" s="39"/>
      <c r="K83" s="57"/>
      <c r="L83" s="49"/>
      <c r="M83" s="38"/>
      <c r="N83" s="49"/>
    </row>
    <row r="84" spans="1:14" ht="12.75">
      <c r="A84" s="33" t="s">
        <v>291</v>
      </c>
      <c r="B84" s="87" t="s">
        <v>735</v>
      </c>
      <c r="C84" s="34">
        <v>580</v>
      </c>
      <c r="D84" s="34" t="str">
        <f t="array" ref="D84">INDEX('Synergy import (8232022)'!A$1:L$229,MATCH(C84,'Synergy import (8232022)'!D$1:D$229,0),8)</f>
        <v>Griffith, Cavena J.</v>
      </c>
      <c r="E84" s="34" t="str">
        <f t="array" ref="E84">INDEX('Synergy import (8232022)'!A$1:L$229,MATCH(C84,'Synergy import (8232022)'!D$1:D$229,0),7)</f>
        <v>Cavena_J_Griffith@mcpsmd.org</v>
      </c>
      <c r="F84" s="43" t="s">
        <v>503</v>
      </c>
      <c r="G84" s="44" t="s">
        <v>333</v>
      </c>
      <c r="H84" s="36" t="s">
        <v>97</v>
      </c>
      <c r="I84" s="37" t="s">
        <v>575</v>
      </c>
      <c r="J84" s="39"/>
      <c r="K84" s="46"/>
      <c r="L84" s="10"/>
      <c r="M84" s="39"/>
      <c r="N84" s="49"/>
    </row>
    <row r="85" spans="1:14" ht="25.5" hidden="1">
      <c r="A85" s="33" t="s">
        <v>211</v>
      </c>
      <c r="B85" s="33" t="s">
        <v>212</v>
      </c>
      <c r="C85" s="50">
        <v>238</v>
      </c>
      <c r="D85" s="34" t="str">
        <f t="array" ref="D85">INDEX('Synergy import (8232022)'!A$1:L$229,MATCH(C85,'Synergy import (8232022)'!D$1:D$229,0),8)</f>
        <v>Hambrecht, Natalie M.</v>
      </c>
      <c r="E85" s="34" t="str">
        <f t="array" ref="E85">INDEX('Synergy import (8232022)'!A$1:L$229,MATCH(C85,'Synergy import (8232022)'!D$1:D$229,0),7)</f>
        <v>Natalie_M_Hambrecht@mcpsmd.org</v>
      </c>
      <c r="F85" s="51" t="s">
        <v>656</v>
      </c>
      <c r="G85" s="52"/>
      <c r="H85" s="36" t="s">
        <v>657</v>
      </c>
      <c r="I85" s="55"/>
      <c r="J85" s="39"/>
      <c r="K85" s="46"/>
      <c r="L85" s="10"/>
      <c r="M85" s="39"/>
      <c r="N85" s="49"/>
    </row>
    <row r="86" spans="1:14" ht="12.75">
      <c r="A86" s="33" t="s">
        <v>383</v>
      </c>
      <c r="B86" s="33" t="s">
        <v>581</v>
      </c>
      <c r="C86" s="50">
        <v>109</v>
      </c>
      <c r="D86" s="34" t="str">
        <f t="array" ref="D86">INDEX('Synergy import (8232022)'!A$1:L$229,MATCH(C86,'Synergy import (8232022)'!D$1:D$229,0),8)</f>
        <v>Hammond, M Deneise</v>
      </c>
      <c r="E86" s="34" t="str">
        <f t="array" ref="E86">INDEX('Synergy import (8232022)'!A$1:L$229,MATCH(C86,'Synergy import (8232022)'!D$1:D$229,0),7)</f>
        <v>MDeneise_Hammond@mcpsmd.org</v>
      </c>
      <c r="F86" s="51" t="s">
        <v>156</v>
      </c>
      <c r="G86" s="44" t="s">
        <v>204</v>
      </c>
      <c r="H86" s="36" t="s">
        <v>387</v>
      </c>
      <c r="I86" s="55"/>
      <c r="J86" s="39"/>
      <c r="K86" s="46"/>
      <c r="L86" s="10"/>
      <c r="M86" s="39"/>
      <c r="N86" s="49"/>
    </row>
    <row r="87" spans="1:14" ht="12.75">
      <c r="A87" s="33" t="s">
        <v>195</v>
      </c>
      <c r="B87" s="33" t="s">
        <v>389</v>
      </c>
      <c r="C87" s="50">
        <v>708</v>
      </c>
      <c r="D87" s="34" t="str">
        <f t="array" ref="D87">INDEX('Synergy import (8232022)'!A$1:L$229,MATCH(C87,'Synergy import (8232022)'!D$1:D$229,0),8)</f>
        <v>Harrison, Dyan L.</v>
      </c>
      <c r="E87" s="34" t="str">
        <f t="array" ref="E87">INDEX('Synergy import (8232022)'!A$1:L$229,MATCH(C87,'Synergy import (8232022)'!D$1:D$229,0),7)</f>
        <v>Dyan_L_Harrison@mcpsmd.org</v>
      </c>
      <c r="F87" s="51" t="s">
        <v>390</v>
      </c>
      <c r="G87" s="44" t="s">
        <v>336</v>
      </c>
      <c r="H87" s="36" t="s">
        <v>689</v>
      </c>
      <c r="I87" s="55"/>
      <c r="J87" s="39"/>
      <c r="K87" s="46"/>
      <c r="L87" s="10"/>
      <c r="M87" s="39"/>
      <c r="N87" s="49"/>
    </row>
    <row r="88" spans="1:14" ht="12.75">
      <c r="A88" s="33" t="s">
        <v>122</v>
      </c>
      <c r="B88" s="33" t="s">
        <v>577</v>
      </c>
      <c r="C88" s="34">
        <v>772</v>
      </c>
      <c r="D88" s="34" t="str">
        <f t="array" ref="D88">INDEX('Synergy import (8232022)'!A$1:L$229,MATCH(C88,'Synergy import (8232022)'!D$1:D$229,0),8)</f>
        <v>Hawkins, Matthew D.</v>
      </c>
      <c r="E88" s="34" t="str">
        <f t="array" ref="E88">INDEX('Synergy import (8232022)'!A$1:L$229,MATCH(C88,'Synergy import (8232022)'!D$1:D$229,0),7)</f>
        <v>Matthew_D_Hawkins@mcpsmd.org</v>
      </c>
      <c r="F88" s="43" t="s">
        <v>736</v>
      </c>
      <c r="G88" s="44" t="s">
        <v>209</v>
      </c>
      <c r="H88" s="36" t="s">
        <v>327</v>
      </c>
      <c r="I88" s="37" t="s">
        <v>537</v>
      </c>
      <c r="J88" s="39"/>
      <c r="K88" s="46"/>
      <c r="L88" s="10"/>
      <c r="M88" s="39"/>
      <c r="N88" s="49"/>
    </row>
    <row r="89" spans="1:14" ht="25.5">
      <c r="A89" s="33" t="s">
        <v>10</v>
      </c>
      <c r="B89" s="66" t="s">
        <v>466</v>
      </c>
      <c r="C89" s="34">
        <v>818</v>
      </c>
      <c r="D89" s="34" t="str">
        <f t="array" ref="D89">INDEX('Synergy import (8232022)'!A$1:L$229,MATCH(C89,'Synergy import (8232022)'!D$1:D$229,0),8)</f>
        <v>Hayden Williams, Kimberly N.</v>
      </c>
      <c r="E89" s="34" t="str">
        <f t="array" ref="E89">INDEX('Synergy import (8232022)'!A$1:L$229,MATCH(C89,'Synergy import (8232022)'!D$1:D$229,0),7)</f>
        <v>Kimberly_N_HaydenWilliams@mcpsmd.org</v>
      </c>
      <c r="F89" s="43" t="s">
        <v>705</v>
      </c>
      <c r="G89" s="44" t="s">
        <v>330</v>
      </c>
      <c r="H89" s="36" t="s">
        <v>373</v>
      </c>
      <c r="I89" s="37" t="s">
        <v>467</v>
      </c>
      <c r="J89" s="80"/>
      <c r="K89" s="57"/>
      <c r="L89" s="49"/>
      <c r="M89" s="38"/>
      <c r="N89" s="49"/>
    </row>
    <row r="90" spans="1:14" ht="12.75">
      <c r="A90" s="33" t="s">
        <v>247</v>
      </c>
      <c r="B90" s="33" t="s">
        <v>541</v>
      </c>
      <c r="C90" s="34">
        <v>770</v>
      </c>
      <c r="D90" s="34" t="str">
        <f t="array" ref="D90">INDEX('Synergy import (8232022)'!A$1:L$229,MATCH(C90,'Synergy import (8232022)'!D$1:D$229,0),8)</f>
        <v>Heatwole, Kyle J.</v>
      </c>
      <c r="E90" s="34" t="str">
        <f t="array" ref="E90">INDEX('Synergy import (8232022)'!A$1:L$229,MATCH(C90,'Synergy import (8232022)'!D$1:D$229,0),7)</f>
        <v>Kyle_J_Heatwole@mcpsmd.org</v>
      </c>
      <c r="F90" s="43" t="s">
        <v>649</v>
      </c>
      <c r="G90" s="44" t="s">
        <v>287</v>
      </c>
      <c r="H90" s="36" t="s">
        <v>111</v>
      </c>
      <c r="I90" s="37" t="s">
        <v>727</v>
      </c>
      <c r="J90" s="39"/>
      <c r="K90" s="57"/>
      <c r="L90" s="49"/>
      <c r="M90" s="38"/>
      <c r="N90" s="49"/>
    </row>
    <row r="91" spans="1:14" ht="12.75">
      <c r="A91" s="33" t="s">
        <v>10</v>
      </c>
      <c r="B91" s="33" t="s">
        <v>329</v>
      </c>
      <c r="C91" s="50">
        <v>817</v>
      </c>
      <c r="D91" s="34" t="str">
        <f t="array" ref="D91">INDEX('Synergy import (8232022)'!A$1:L$229,MATCH(C91,'Synergy import (8232022)'!D$1:D$229,0),8)</f>
        <v>Hefflin, Ann</v>
      </c>
      <c r="E91" s="34" t="str">
        <f t="array" ref="E91">INDEX('Synergy import (8232022)'!A$1:L$229,MATCH(C91,'Synergy import (8232022)'!D$1:D$229,0),7)</f>
        <v>Ann_Hefflin@mcpsmd.org</v>
      </c>
      <c r="F91" s="51" t="s">
        <v>124</v>
      </c>
      <c r="G91" s="44" t="s">
        <v>330</v>
      </c>
      <c r="H91" s="36" t="s">
        <v>127</v>
      </c>
      <c r="I91" s="55"/>
      <c r="J91" s="39"/>
      <c r="K91" s="46"/>
      <c r="L91" s="10"/>
      <c r="M91" s="39"/>
      <c r="N91" s="49"/>
    </row>
    <row r="92" spans="1:14" ht="12.75">
      <c r="A92" s="33" t="s">
        <v>45</v>
      </c>
      <c r="B92" s="33" t="s">
        <v>509</v>
      </c>
      <c r="C92" s="50">
        <v>819</v>
      </c>
      <c r="D92" s="34" t="str">
        <f t="array" ref="D92">INDEX('Synergy import (8232022)'!A$1:L$229,MATCH(C92,'Synergy import (8232022)'!D$1:D$229,0),8)</f>
        <v>Henriquez, Kimberly A.</v>
      </c>
      <c r="E92" s="34" t="str">
        <f t="array" ref="E92">INDEX('Synergy import (8232022)'!A$1:L$229,MATCH(C92,'Synergy import (8232022)'!D$1:D$229,0),7)</f>
        <v>Kimberly_Henriquez@mcpsmd.org</v>
      </c>
      <c r="F92" s="56" t="s">
        <v>510</v>
      </c>
      <c r="G92" s="44" t="s">
        <v>48</v>
      </c>
      <c r="H92" s="36" t="s">
        <v>636</v>
      </c>
      <c r="I92" s="55"/>
      <c r="J92" s="39"/>
      <c r="K92" s="46"/>
      <c r="L92" s="10"/>
      <c r="M92" s="39"/>
      <c r="N92" s="49"/>
    </row>
    <row r="93" spans="1:14" ht="12.75">
      <c r="A93" s="33" t="s">
        <v>291</v>
      </c>
      <c r="B93" s="33" t="s">
        <v>564</v>
      </c>
      <c r="C93" s="34">
        <v>563</v>
      </c>
      <c r="D93" s="34" t="str">
        <f t="array" ref="D93">INDEX('Synergy import (8232022)'!A$1:L$229,MATCH(C93,'Synergy import (8232022)'!D$1:D$229,0),8)</f>
        <v>Henry, Lisa J.</v>
      </c>
      <c r="E93" s="34" t="str">
        <f t="array" ref="E93">INDEX('Synergy import (8232022)'!A$1:L$229,MATCH(C93,'Synergy import (8232022)'!D$1:D$229,0),7)</f>
        <v>Lisa_J_Henry@mcpsmd.org</v>
      </c>
      <c r="F93" s="43" t="s">
        <v>215</v>
      </c>
      <c r="G93" s="44" t="s">
        <v>562</v>
      </c>
      <c r="H93" s="36" t="s">
        <v>672</v>
      </c>
      <c r="I93" s="37" t="s">
        <v>504</v>
      </c>
      <c r="J93" s="39"/>
      <c r="K93" s="57"/>
      <c r="L93" s="49"/>
      <c r="M93" s="38" t="s">
        <v>682</v>
      </c>
      <c r="N93" s="49"/>
    </row>
    <row r="94" spans="1:14" ht="12.75" hidden="1">
      <c r="A94" s="33" t="s">
        <v>65</v>
      </c>
      <c r="B94" s="33" t="s">
        <v>589</v>
      </c>
      <c r="C94" s="50">
        <v>235</v>
      </c>
      <c r="D94" s="34" t="str">
        <f t="array" ref="D94">INDEX('Synergy import (8232022)'!A$1:L$229,MATCH(C94,'Synergy import (8232022)'!D$1:D$229,0),8)</f>
        <v>Hill, Holly A.</v>
      </c>
      <c r="E94" s="34" t="str">
        <f t="array" ref="E94">INDEX('Synergy import (8232022)'!A$1:L$229,MATCH(C94,'Synergy import (8232022)'!D$1:D$229,0),7)</f>
        <v>Holly_A_Hill@mcpsmd.org</v>
      </c>
      <c r="F94" s="56" t="s">
        <v>409</v>
      </c>
      <c r="G94" s="52"/>
      <c r="H94" s="36" t="s">
        <v>87</v>
      </c>
      <c r="I94" s="55"/>
      <c r="J94" s="39"/>
      <c r="K94" s="46"/>
      <c r="L94" s="10"/>
      <c r="M94" s="39"/>
      <c r="N94" s="49"/>
    </row>
    <row r="95" spans="1:14" ht="12.75" hidden="1">
      <c r="A95" s="33" t="s">
        <v>25</v>
      </c>
      <c r="B95" s="33" t="s">
        <v>571</v>
      </c>
      <c r="C95" s="50">
        <v>232</v>
      </c>
      <c r="D95" s="34" t="str">
        <f t="array" ref="D95">INDEX('Synergy import (8232022)'!A$1:L$229,MATCH(C95,'Synergy import (8232022)'!D$1:D$229,0),8)</f>
        <v>Hopkins, Sapna</v>
      </c>
      <c r="E95" s="34" t="str">
        <f t="array" ref="E95">INDEX('Synergy import (8232022)'!A$1:L$229,MATCH(C95,'Synergy import (8232022)'!D$1:D$229,0),7)</f>
        <v>Sapna_Hopkins@mcpsmd.org</v>
      </c>
      <c r="F95" s="56" t="s">
        <v>266</v>
      </c>
      <c r="G95" s="52"/>
      <c r="H95" s="36" t="s">
        <v>314</v>
      </c>
      <c r="I95" s="37" t="s">
        <v>681</v>
      </c>
      <c r="J95" s="39"/>
      <c r="K95" s="57"/>
      <c r="L95" s="49"/>
      <c r="M95" s="38"/>
      <c r="N95" s="49"/>
    </row>
    <row r="96" spans="1:14" ht="12.75" hidden="1">
      <c r="A96" s="33" t="s">
        <v>74</v>
      </c>
      <c r="B96" s="33" t="s">
        <v>545</v>
      </c>
      <c r="C96" s="50">
        <v>405</v>
      </c>
      <c r="D96" s="34" t="str">
        <f t="array" ref="D96">INDEX('Synergy import (8232022)'!A$1:L$229,MATCH(C96,'Synergy import (8232022)'!D$1:D$229,0),8)</f>
        <v>Houston, Cynthia A.</v>
      </c>
      <c r="E96" s="34" t="str">
        <f t="array" ref="E96">INDEX('Synergy import (8232022)'!A$1:L$229,MATCH(C96,'Synergy import (8232022)'!D$1:D$229,0),7)</f>
        <v>Cynthia_A_Houston@mcpsmd.org</v>
      </c>
      <c r="F96" s="51" t="s">
        <v>76</v>
      </c>
      <c r="G96" s="52"/>
      <c r="H96" s="36" t="s">
        <v>79</v>
      </c>
      <c r="I96" s="55"/>
      <c r="J96" s="39"/>
      <c r="K96" s="46"/>
      <c r="L96" s="49" t="s">
        <v>368</v>
      </c>
      <c r="M96" s="38" t="s">
        <v>685</v>
      </c>
      <c r="N96" s="49"/>
    </row>
    <row r="97" spans="1:14" ht="12.75">
      <c r="A97" s="33" t="s">
        <v>74</v>
      </c>
      <c r="B97" s="33" t="s">
        <v>522</v>
      </c>
      <c r="C97" s="50">
        <v>794</v>
      </c>
      <c r="D97" s="34" t="str">
        <f t="array" ref="D97">INDEX('Synergy import (8232022)'!A$1:L$229,MATCH(C97,'Synergy import (8232022)'!D$1:D$229,0),8)</f>
        <v>Irwin Kennedy, Rebecca A.</v>
      </c>
      <c r="E97" s="34" t="str">
        <f t="array" ref="E97">INDEX('Synergy import (8232022)'!A$1:L$229,MATCH(C97,'Synergy import (8232022)'!D$1:D$229,0),7)</f>
        <v>Rebecca_A_IrwinKennedy@mcpsmd.org</v>
      </c>
      <c r="F97" s="51" t="s">
        <v>85</v>
      </c>
      <c r="G97" s="44" t="s">
        <v>507</v>
      </c>
      <c r="H97" s="36" t="s">
        <v>79</v>
      </c>
      <c r="I97" s="55"/>
      <c r="J97" s="39"/>
      <c r="K97" s="46"/>
      <c r="L97" s="10"/>
      <c r="M97" s="39"/>
      <c r="N97" s="49"/>
    </row>
    <row r="98" spans="1:14" ht="12.75">
      <c r="A98" s="33" t="s">
        <v>247</v>
      </c>
      <c r="B98" s="33" t="s">
        <v>618</v>
      </c>
      <c r="C98" s="50">
        <v>764</v>
      </c>
      <c r="D98" s="34" t="str">
        <f t="array" ref="D98">INDEX('Synergy import (8232022)'!A$1:L$229,MATCH(C98,'Synergy import (8232022)'!D$1:D$229,0),8)</f>
        <v>Jackson, Craig O.</v>
      </c>
      <c r="E98" s="34" t="str">
        <f t="array" ref="E98">INDEX('Synergy import (8232022)'!A$1:L$229,MATCH(C98,'Synergy import (8232022)'!D$1:D$229,0),7)</f>
        <v>Craig_O_Jackson@mcpsmd.org</v>
      </c>
      <c r="F98" s="51" t="s">
        <v>480</v>
      </c>
      <c r="G98" s="44" t="s">
        <v>619</v>
      </c>
      <c r="H98" s="36" t="s">
        <v>373</v>
      </c>
      <c r="I98" s="55"/>
      <c r="J98" s="39"/>
      <c r="K98" s="46"/>
      <c r="L98" s="10"/>
      <c r="M98" s="39"/>
      <c r="N98" s="49"/>
    </row>
    <row r="99" spans="1:14" ht="12.75">
      <c r="A99" s="33" t="s">
        <v>10</v>
      </c>
      <c r="B99" s="33" t="s">
        <v>372</v>
      </c>
      <c r="C99" s="77">
        <v>805</v>
      </c>
      <c r="D99" s="34" t="str">
        <f t="array" ref="D99">INDEX('Synergy import (8232022)'!A$1:L$229,MATCH(C99,'Synergy import (8232022)'!D$1:D$229,0),8)</f>
        <v>James, Bernard X.</v>
      </c>
      <c r="E99" s="34" t="str">
        <f t="array" ref="E99">INDEX('Synergy import (8232022)'!A$1:L$229,MATCH(C99,'Synergy import (8232022)'!D$1:D$229,0),7)</f>
        <v>Bernard_X_James@mcpsmd.org</v>
      </c>
      <c r="F99" s="78" t="s">
        <v>375</v>
      </c>
      <c r="G99" s="44" t="s">
        <v>330</v>
      </c>
      <c r="H99" s="36" t="s">
        <v>373</v>
      </c>
      <c r="I99" s="37" t="s">
        <v>135</v>
      </c>
      <c r="J99" s="39"/>
      <c r="K99" s="46"/>
      <c r="L99" s="49" t="s">
        <v>380</v>
      </c>
      <c r="M99" s="38" t="s">
        <v>686</v>
      </c>
      <c r="N99" s="49"/>
    </row>
    <row r="100" spans="1:14" ht="25.5">
      <c r="A100" s="33" t="s">
        <v>10</v>
      </c>
      <c r="B100" s="33" t="s">
        <v>11</v>
      </c>
      <c r="C100" s="34">
        <v>790</v>
      </c>
      <c r="D100" s="34" t="str">
        <f t="array" ref="D100">INDEX('Synergy import (8232022)'!A$1:L$229,MATCH(C100,'Synergy import (8232022)'!D$1:D$229,0),8)</f>
        <v>Jean-Philippe, Emmanuel J.</v>
      </c>
      <c r="E100" s="34" t="str">
        <f t="array" ref="E100">INDEX('Synergy import (8232022)'!A$1:L$229,MATCH(C100,'Synergy import (8232022)'!D$1:D$229,0),7)</f>
        <v>Emmanuel_J_JeanPhilippe1@mcpsmd.org</v>
      </c>
      <c r="F100" s="60" t="s">
        <v>578</v>
      </c>
      <c r="G100" s="44" t="s">
        <v>12</v>
      </c>
      <c r="H100" s="36" t="s">
        <v>14</v>
      </c>
      <c r="I100" s="37" t="s">
        <v>365</v>
      </c>
      <c r="J100" s="39"/>
      <c r="K100" s="46"/>
      <c r="L100" s="10"/>
      <c r="M100" s="39"/>
      <c r="N100" s="49"/>
    </row>
    <row r="101" spans="1:14" ht="12.75">
      <c r="A101" s="33" t="s">
        <v>148</v>
      </c>
      <c r="B101" s="33" t="s">
        <v>516</v>
      </c>
      <c r="C101" s="50">
        <v>707</v>
      </c>
      <c r="D101" s="34" t="str">
        <f t="array" ref="D101">INDEX('Synergy import (8232022)'!A$1:L$229,MATCH(C101,'Synergy import (8232022)'!D$1:D$229,0),8)</f>
        <v>Johnson, Darryl V.</v>
      </c>
      <c r="E101" s="34" t="str">
        <f t="array" ref="E101">INDEX('Synergy import (8232022)'!A$1:L$229,MATCH(C101,'Synergy import (8232022)'!D$1:D$229,0),7)</f>
        <v>Darryl_V_Johnson@mcpsmd.org</v>
      </c>
      <c r="F101" s="56" t="s">
        <v>174</v>
      </c>
      <c r="G101" s="44" t="s">
        <v>675</v>
      </c>
      <c r="H101" s="36" t="s">
        <v>387</v>
      </c>
      <c r="I101" s="37" t="s">
        <v>475</v>
      </c>
      <c r="J101" s="39"/>
      <c r="K101" s="57"/>
      <c r="L101" s="49"/>
      <c r="M101" s="38" t="s">
        <v>688</v>
      </c>
      <c r="N101" s="49"/>
    </row>
    <row r="102" spans="1:14" ht="38.25">
      <c r="A102" s="33" t="s">
        <v>92</v>
      </c>
      <c r="B102" s="33" t="s">
        <v>93</v>
      </c>
      <c r="C102" s="50">
        <v>757</v>
      </c>
      <c r="D102" s="34" t="str">
        <f t="array" ref="D102">INDEX('Synergy import (8232022)'!A$1:L$229,MATCH(C102,'Synergy import (8232022)'!D$1:D$229,0),8)</f>
        <v>Johnson, Renay C.</v>
      </c>
      <c r="E102" s="34" t="str">
        <f t="array" ref="E102">INDEX('Synergy import (8232022)'!A$1:L$229,MATCH(C102,'Synergy import (8232022)'!D$1:D$229,0),7)</f>
        <v>Renay_C_Johnson@mcpsmd.org</v>
      </c>
      <c r="F102" s="51" t="s">
        <v>94</v>
      </c>
      <c r="G102" s="44" t="s">
        <v>95</v>
      </c>
      <c r="H102" s="36" t="s">
        <v>756</v>
      </c>
      <c r="I102" s="55"/>
      <c r="J102" s="38" t="s">
        <v>99</v>
      </c>
      <c r="K102" s="46"/>
      <c r="L102" s="10"/>
      <c r="M102" s="38" t="s">
        <v>691</v>
      </c>
      <c r="N102" s="49"/>
    </row>
    <row r="103" spans="1:14" ht="12.75">
      <c r="A103" s="33" t="s">
        <v>383</v>
      </c>
      <c r="B103" s="33" t="s">
        <v>391</v>
      </c>
      <c r="C103" s="50">
        <v>108</v>
      </c>
      <c r="D103" s="34" t="str">
        <f t="array" ref="D103">INDEX('Synergy import (8232022)'!A$1:L$229,MATCH(C103,'Synergy import (8232022)'!D$1:D$229,0),8)</f>
        <v>Johnson, Teri D.</v>
      </c>
      <c r="E103" s="34" t="str">
        <f t="array" ref="E103">INDEX('Synergy import (8232022)'!A$1:L$229,MATCH(C103,'Synergy import (8232022)'!D$1:D$229,0),7)</f>
        <v>Teri_D_Johnson@mcpsmd.org</v>
      </c>
      <c r="F103" s="51" t="s">
        <v>156</v>
      </c>
      <c r="G103" s="44" t="s">
        <v>385</v>
      </c>
      <c r="H103" s="36" t="s">
        <v>387</v>
      </c>
      <c r="I103" s="55"/>
      <c r="J103" s="39"/>
      <c r="K103" s="57"/>
      <c r="L103" s="49"/>
      <c r="M103" s="38" t="s">
        <v>692</v>
      </c>
      <c r="N103" s="49"/>
    </row>
    <row r="104" spans="1:14" ht="12.75">
      <c r="A104" s="33" t="s">
        <v>154</v>
      </c>
      <c r="B104" s="33" t="s">
        <v>169</v>
      </c>
      <c r="C104" s="50">
        <v>511</v>
      </c>
      <c r="D104" s="34" t="str">
        <f t="array" ref="D104">INDEX('Synergy import (8232022)'!A$1:L$229,MATCH(C104,'Synergy import (8232022)'!D$1:D$229,0),8)</f>
        <v>Jones, Courtney M.</v>
      </c>
      <c r="E104" s="34" t="str">
        <f t="array" ref="E104">INDEX('Synergy import (8232022)'!A$1:L$229,MATCH(C104,'Synergy import (8232022)'!D$1:D$229,0),7)</f>
        <v>Courtney_M_Jones@mcpsmd.org</v>
      </c>
      <c r="F104" s="56" t="s">
        <v>495</v>
      </c>
      <c r="G104" s="44" t="s">
        <v>170</v>
      </c>
      <c r="H104" s="36" t="s">
        <v>171</v>
      </c>
      <c r="I104" s="55"/>
      <c r="J104" s="39"/>
      <c r="K104" s="57"/>
      <c r="L104" s="49"/>
      <c r="M104" s="38"/>
      <c r="N104" s="49"/>
    </row>
    <row r="105" spans="1:14" ht="12.75" hidden="1">
      <c r="A105" s="33" t="s">
        <v>211</v>
      </c>
      <c r="B105" s="33" t="s">
        <v>297</v>
      </c>
      <c r="C105" s="50">
        <v>237</v>
      </c>
      <c r="D105" s="34" t="str">
        <f t="array" ref="D105">INDEX('Synergy import (8232022)'!A$1:L$229,MATCH(C105,'Synergy import (8232022)'!D$1:D$229,0),8)</f>
        <v>Jones, Joey N.</v>
      </c>
      <c r="E105" s="34" t="str">
        <f t="array" ref="E105">INDEX('Synergy import (8232022)'!A$1:L$229,MATCH(C105,'Synergy import (8232022)'!D$1:D$229,0),7)</f>
        <v>Joey_N_Jones@mcpsmd.org</v>
      </c>
      <c r="F105" s="56" t="s">
        <v>298</v>
      </c>
      <c r="G105" s="52"/>
      <c r="H105" s="36" t="s">
        <v>43</v>
      </c>
      <c r="I105" s="55"/>
      <c r="J105" s="39"/>
      <c r="K105" s="46"/>
      <c r="L105" s="10"/>
      <c r="M105" s="38" t="s">
        <v>693</v>
      </c>
      <c r="N105" s="49"/>
    </row>
    <row r="106" spans="1:14" ht="12.75" hidden="1">
      <c r="A106" s="33" t="s">
        <v>101</v>
      </c>
      <c r="B106" s="33" t="s">
        <v>557</v>
      </c>
      <c r="C106" s="50">
        <v>316</v>
      </c>
      <c r="D106" s="34" t="str">
        <f t="array" ref="D106">INDEX('Synergy import (8232022)'!A$1:L$229,MATCH(C106,'Synergy import (8232022)'!D$1:D$229,0),8)</f>
        <v>Jones, Linda M.</v>
      </c>
      <c r="E106" s="34" t="str">
        <f t="array" ref="E106">INDEX('Synergy import (8232022)'!A$1:L$229,MATCH(C106,'Synergy import (8232022)'!D$1:D$229,0),7)</f>
        <v>Linda_M_Jones@mcpsmd.org</v>
      </c>
      <c r="F106" s="51" t="s">
        <v>648</v>
      </c>
      <c r="G106" s="52"/>
      <c r="H106" s="36" t="s">
        <v>559</v>
      </c>
      <c r="I106" s="55"/>
      <c r="J106" s="39"/>
      <c r="K106" s="46"/>
      <c r="L106" s="10"/>
      <c r="M106" s="38"/>
      <c r="N106" s="49"/>
    </row>
    <row r="107" spans="1:14" ht="25.5" hidden="1">
      <c r="A107" s="33" t="s">
        <v>211</v>
      </c>
      <c r="B107" s="33" t="s">
        <v>395</v>
      </c>
      <c r="C107" s="34">
        <v>209</v>
      </c>
      <c r="D107" s="34" t="str">
        <f t="array" ref="D107">INDEX('Synergy import (8232022)'!A$1:L$229,MATCH(C107,'Synergy import (8232022)'!D$1:D$229,0),8)</f>
        <v>Kelly, Ebony-Nicole</v>
      </c>
      <c r="E107" s="34" t="str">
        <f t="array" ref="E107">INDEX('Synergy import (8232022)'!A$1:L$229,MATCH(C107,'Synergy import (8232022)'!D$1:D$229,0),7)</f>
        <v>Ebony-Nicole_Kelly@mcpsmd.org</v>
      </c>
      <c r="F107" s="43" t="s">
        <v>138</v>
      </c>
      <c r="G107" s="52"/>
      <c r="H107" s="36" t="s">
        <v>657</v>
      </c>
      <c r="I107" s="55"/>
      <c r="J107" s="39"/>
      <c r="K107" s="46"/>
      <c r="L107" s="10"/>
      <c r="M107" s="39"/>
      <c r="N107" s="49"/>
    </row>
    <row r="108" spans="1:14" ht="12.75" hidden="1">
      <c r="A108" s="33" t="s">
        <v>65</v>
      </c>
      <c r="B108" s="33" t="s">
        <v>355</v>
      </c>
      <c r="C108" s="50">
        <v>228</v>
      </c>
      <c r="D108" s="34" t="str">
        <f t="array" ref="D108">INDEX('Synergy import (8232022)'!A$1:L$229,MATCH(C108,'Synergy import (8232022)'!D$1:D$229,0),8)</f>
        <v>Kim, Yong M.</v>
      </c>
      <c r="E108" s="34" t="str">
        <f t="array" ref="E108">INDEX('Synergy import (8232022)'!A$1:L$229,MATCH(C108,'Synergy import (8232022)'!D$1:D$229,0),7)</f>
        <v>Yong_M_Kim@mcpsmd.org</v>
      </c>
      <c r="F108" s="56" t="s">
        <v>356</v>
      </c>
      <c r="G108" s="52"/>
      <c r="H108" s="36" t="s">
        <v>67</v>
      </c>
      <c r="I108" s="55"/>
      <c r="J108" s="39"/>
      <c r="K108" s="46"/>
      <c r="L108" s="10"/>
      <c r="M108" s="39"/>
      <c r="N108" s="49"/>
    </row>
    <row r="109" spans="1:14" ht="12.75">
      <c r="A109" s="33" t="s">
        <v>122</v>
      </c>
      <c r="B109" s="33" t="s">
        <v>123</v>
      </c>
      <c r="C109" s="50">
        <v>807</v>
      </c>
      <c r="D109" s="34" t="str">
        <f t="array" ref="D109">INDEX('Synergy import (8232022)'!A$1:L$229,MATCH(C109,'Synergy import (8232022)'!D$1:D$229,0),8)</f>
        <v>Kimber, Xavier</v>
      </c>
      <c r="E109" s="34" t="str">
        <f t="array" ref="E109">INDEX('Synergy import (8232022)'!A$1:L$229,MATCH(C109,'Synergy import (8232022)'!D$1:D$229,0),7)</f>
        <v>Xavier_Kimber@mcpsmd.org</v>
      </c>
      <c r="F109" s="56" t="s">
        <v>124</v>
      </c>
      <c r="G109" s="8" t="s">
        <v>125</v>
      </c>
      <c r="H109" s="36" t="s">
        <v>127</v>
      </c>
      <c r="I109" s="55"/>
      <c r="J109" s="59"/>
      <c r="K109" s="57"/>
      <c r="L109" s="49"/>
      <c r="M109" s="38" t="s">
        <v>694</v>
      </c>
      <c r="N109" s="49"/>
    </row>
    <row r="110" spans="1:14" ht="25.5">
      <c r="A110" s="33" t="s">
        <v>429</v>
      </c>
      <c r="B110" s="33" t="s">
        <v>546</v>
      </c>
      <c r="C110" s="50">
        <v>564</v>
      </c>
      <c r="D110" s="34" t="str">
        <f t="array" ref="D110">INDEX('Synergy import (8232022)'!A$1:L$229,MATCH(C110,'Synergy import (8232022)'!D$1:D$229,0),8)</f>
        <v>King, Celeste D.</v>
      </c>
      <c r="E110" s="34" t="str">
        <f t="array" ref="E110">INDEX('Synergy import (8232022)'!A$1:L$229,MATCH(C110,'Synergy import (8232022)'!D$1:D$229,0),7)</f>
        <v>Celeste_King@mcpsmd.org</v>
      </c>
      <c r="F110" s="51" t="s">
        <v>547</v>
      </c>
      <c r="G110" s="44" t="s">
        <v>548</v>
      </c>
      <c r="H110" s="36" t="s">
        <v>689</v>
      </c>
      <c r="I110" s="37" t="s">
        <v>365</v>
      </c>
      <c r="J110" s="39"/>
      <c r="K110" s="46"/>
      <c r="L110" s="10"/>
      <c r="M110" s="39"/>
      <c r="N110" s="49"/>
    </row>
    <row r="111" spans="1:14" ht="12.75" hidden="1">
      <c r="A111" s="33" t="s">
        <v>89</v>
      </c>
      <c r="B111" s="33" t="s">
        <v>164</v>
      </c>
      <c r="C111" s="50">
        <v>215</v>
      </c>
      <c r="D111" s="34" t="str">
        <f t="array" ref="D111">INDEX('Synergy import (8232022)'!A$1:L$229,MATCH(C111,'Synergy import (8232022)'!D$1:D$229,0),8)</f>
        <v>Lacoursiere, Elizabeth</v>
      </c>
      <c r="E111" s="34" t="str">
        <f t="array" ref="E111">INDEX('Synergy import (8232022)'!A$1:L$229,MATCH(C111,'Synergy import (8232022)'!D$1:D$229,0),7)</f>
        <v>Elizabeth_Lacoursiere@mcpsmd.org</v>
      </c>
      <c r="F111" s="51" t="s">
        <v>310</v>
      </c>
      <c r="G111" s="52"/>
      <c r="H111" s="36" t="s">
        <v>50</v>
      </c>
      <c r="I111" s="55"/>
      <c r="J111" s="39"/>
      <c r="K111" s="46"/>
      <c r="L111" s="10"/>
      <c r="M111" s="39"/>
      <c r="N111" s="49"/>
    </row>
    <row r="112" spans="1:14" ht="12.75" hidden="1">
      <c r="A112" s="33" t="s">
        <v>89</v>
      </c>
      <c r="B112" s="33" t="s">
        <v>499</v>
      </c>
      <c r="C112" s="50">
        <v>965</v>
      </c>
      <c r="D112" s="34" t="str">
        <f t="array" ref="D112">INDEX('Synergy import (8232022)'!A$1:L$229,MATCH(C112,'Synergy import (8232022)'!D$1:D$229,0),8)</f>
        <v>Langston, Jada</v>
      </c>
      <c r="E112" s="34" t="str">
        <f t="array" ref="E112">INDEX('Synergy import (8232022)'!A$1:L$229,MATCH(C112,'Synergy import (8232022)'!D$1:D$229,0),7)</f>
        <v>Jada_Langston@mcpsmd.org</v>
      </c>
      <c r="F112" s="56" t="s">
        <v>217</v>
      </c>
      <c r="G112" s="52"/>
      <c r="H112" s="36" t="s">
        <v>636</v>
      </c>
      <c r="I112" s="55"/>
      <c r="J112" s="39"/>
      <c r="K112" s="46"/>
      <c r="L112" s="49" t="s">
        <v>406</v>
      </c>
      <c r="M112" s="38" t="s">
        <v>695</v>
      </c>
      <c r="N112" s="49"/>
    </row>
    <row r="113" spans="1:14" ht="12.75">
      <c r="A113" s="33" t="s">
        <v>36</v>
      </c>
      <c r="B113" s="33" t="s">
        <v>263</v>
      </c>
      <c r="C113" s="34">
        <v>303</v>
      </c>
      <c r="D113" s="34" t="str">
        <f t="array" ref="D113">INDEX('Synergy import (8232022)'!A$1:L$229,MATCH(C113,'Synergy import (8232022)'!D$1:D$229,0),8)</f>
        <v>Lashley, Lakeisha D.</v>
      </c>
      <c r="E113" s="34" t="str">
        <f t="array" ref="E113">INDEX('Synergy import (8232022)'!A$1:L$229,MATCH(C113,'Synergy import (8232022)'!D$1:D$229,0),7)</f>
        <v>Lakeisha_D_Lashley@mcpsmd.org</v>
      </c>
      <c r="F113" s="43" t="s">
        <v>326</v>
      </c>
      <c r="G113" s="44" t="s">
        <v>39</v>
      </c>
      <c r="H113" s="36" t="s">
        <v>470</v>
      </c>
      <c r="I113" s="55"/>
      <c r="J113" s="39"/>
      <c r="K113" s="46"/>
      <c r="L113" s="10"/>
      <c r="M113" s="38"/>
      <c r="N113" s="49"/>
    </row>
    <row r="114" spans="1:14" ht="12.75" hidden="1">
      <c r="A114" s="33" t="s">
        <v>211</v>
      </c>
      <c r="B114" s="33" t="s">
        <v>264</v>
      </c>
      <c r="C114" s="34">
        <v>233</v>
      </c>
      <c r="D114" s="34" t="str">
        <f t="array" ref="D114">INDEX('Synergy import (8232022)'!A$1:L$229,MATCH(C114,'Synergy import (8232022)'!D$1:D$229,0),8)</f>
        <v>Lee, Christina S.</v>
      </c>
      <c r="E114" s="34" t="str">
        <f t="array" ref="E114">INDEX('Synergy import (8232022)'!A$1:L$229,MATCH(C114,'Synergy import (8232022)'!D$1:D$229,0),7)</f>
        <v>Christina_S_Lee@mcpsmd.org</v>
      </c>
      <c r="F114" s="43" t="s">
        <v>47</v>
      </c>
      <c r="G114" s="52"/>
      <c r="H114" s="36" t="s">
        <v>43</v>
      </c>
      <c r="I114" s="55"/>
      <c r="J114" s="39"/>
      <c r="K114" s="57"/>
      <c r="L114" s="49"/>
      <c r="M114" s="38"/>
      <c r="N114" s="49"/>
    </row>
    <row r="115" spans="1:14" ht="12.75">
      <c r="A115" s="33" t="s">
        <v>429</v>
      </c>
      <c r="B115" s="33" t="s">
        <v>430</v>
      </c>
      <c r="C115" s="50">
        <v>557</v>
      </c>
      <c r="D115" s="34" t="str">
        <f t="array" ref="D115">INDEX('Synergy import (8232022)'!A$1:L$229,MATCH(C115,'Synergy import (8232022)'!D$1:D$229,0),8)</f>
        <v>Liburd, Vincent R.</v>
      </c>
      <c r="E115" s="34" t="str">
        <f t="array" ref="E115">INDEX('Synergy import (8232022)'!A$1:L$229,MATCH(C115,'Synergy import (8232022)'!D$1:D$229,0),7)</f>
        <v>Vincent_R_Liburd@mcpsmd.org</v>
      </c>
      <c r="F115" s="56" t="s">
        <v>215</v>
      </c>
      <c r="G115" s="44" t="s">
        <v>431</v>
      </c>
      <c r="H115" s="36" t="s">
        <v>433</v>
      </c>
      <c r="I115" s="37" t="s">
        <v>678</v>
      </c>
      <c r="J115" s="59"/>
      <c r="K115" s="46"/>
      <c r="L115" s="10"/>
      <c r="M115" s="39"/>
      <c r="N115" s="49"/>
    </row>
    <row r="116" spans="1:14" ht="12.75">
      <c r="A116" s="33" t="s">
        <v>45</v>
      </c>
      <c r="B116" s="33" t="s">
        <v>416</v>
      </c>
      <c r="C116" s="34">
        <v>212</v>
      </c>
      <c r="D116" s="34" t="str">
        <f t="array" ref="D116">INDEX('Synergy import (8232022)'!A$1:L$229,MATCH(C116,'Synergy import (8232022)'!D$1:D$229,0),8)</f>
        <v>Lloyd, Cabell W.</v>
      </c>
      <c r="E116" s="34" t="str">
        <f t="array" ref="E116">INDEX('Synergy import (8232022)'!A$1:L$229,MATCH(C116,'Synergy import (8232022)'!D$1:D$229,0),7)</f>
        <v>Cabell_W_Lloyd@mcpsmd.org</v>
      </c>
      <c r="F116" s="43" t="s">
        <v>757</v>
      </c>
      <c r="G116" s="44" t="s">
        <v>417</v>
      </c>
      <c r="H116" s="36" t="s">
        <v>50</v>
      </c>
      <c r="I116" s="55"/>
      <c r="J116" s="39"/>
      <c r="K116" s="57"/>
      <c r="L116" s="49"/>
      <c r="M116" s="38"/>
      <c r="N116" s="49"/>
    </row>
    <row r="117" spans="1:14" ht="12.75">
      <c r="A117" s="33" t="s">
        <v>36</v>
      </c>
      <c r="B117" s="33" t="s">
        <v>145</v>
      </c>
      <c r="C117" s="50">
        <v>302</v>
      </c>
      <c r="D117" s="34" t="str">
        <f t="array" ref="D117">INDEX('Synergy import (8232022)'!A$1:L$229,MATCH(C117,'Synergy import (8232022)'!D$1:D$229,0),8)</f>
        <v>Lloyd, Kimberly L.</v>
      </c>
      <c r="E117" s="34" t="str">
        <f t="array" ref="E117">INDEX('Synergy import (8232022)'!A$1:L$229,MATCH(C117,'Synergy import (8232022)'!D$1:D$229,0),7)</f>
        <v>Kimberly_L_Lloyd@mcpsmd.org</v>
      </c>
      <c r="F117" s="51" t="s">
        <v>645</v>
      </c>
      <c r="G117" s="44" t="s">
        <v>146</v>
      </c>
      <c r="H117" s="36" t="s">
        <v>646</v>
      </c>
      <c r="I117" s="55"/>
      <c r="J117" s="39"/>
      <c r="K117" s="57"/>
      <c r="L117" s="49"/>
      <c r="M117" s="38"/>
      <c r="N117" s="49"/>
    </row>
    <row r="118" spans="1:14" ht="12.75" hidden="1">
      <c r="A118" s="33" t="s">
        <v>25</v>
      </c>
      <c r="B118" s="33" t="s">
        <v>265</v>
      </c>
      <c r="C118" s="50">
        <v>219</v>
      </c>
      <c r="D118" s="34" t="str">
        <f t="array" ref="D118">INDEX('Synergy import (8232022)'!A$1:L$229,MATCH(C118,'Synergy import (8232022)'!D$1:D$229,0),8)</f>
        <v>Longest, April D.</v>
      </c>
      <c r="E118" s="34" t="str">
        <f t="array" ref="E118">INDEX('Synergy import (8232022)'!A$1:L$229,MATCH(C118,'Synergy import (8232022)'!D$1:D$229,0),7)</f>
        <v>April_D_Longest@mcpsmd.org</v>
      </c>
      <c r="F118" s="56" t="s">
        <v>266</v>
      </c>
      <c r="G118" s="52"/>
      <c r="H118" s="53" t="s">
        <v>27</v>
      </c>
      <c r="I118" s="37" t="s">
        <v>63</v>
      </c>
      <c r="J118" s="39"/>
      <c r="K118" s="57"/>
      <c r="L118" s="49"/>
      <c r="M118" s="38"/>
      <c r="N118" s="49"/>
    </row>
    <row r="119" spans="1:14" ht="12.75">
      <c r="A119" s="33" t="s">
        <v>74</v>
      </c>
      <c r="B119" s="33" t="s">
        <v>506</v>
      </c>
      <c r="C119" s="50">
        <v>773</v>
      </c>
      <c r="D119" s="34" t="str">
        <f t="array" ref="D119">INDEX('Synergy import (8232022)'!A$1:L$229,MATCH(C119,'Synergy import (8232022)'!D$1:D$229,0),8)</f>
        <v>Lowndes, Jennifer H.</v>
      </c>
      <c r="E119" s="34" t="str">
        <f t="array" ref="E119">INDEX('Synergy import (8232022)'!A$1:L$229,MATCH(C119,'Synergy import (8232022)'!D$1:D$229,0),7)</f>
        <v>Jennifer_H_Lowndes@mcpsmd.org</v>
      </c>
      <c r="F119" s="56" t="s">
        <v>644</v>
      </c>
      <c r="G119" s="44" t="s">
        <v>507</v>
      </c>
      <c r="H119" s="36" t="s">
        <v>79</v>
      </c>
      <c r="I119" s="55"/>
      <c r="J119" s="39"/>
      <c r="K119" s="57"/>
      <c r="L119" s="49"/>
      <c r="M119" s="38"/>
      <c r="N119" s="49"/>
    </row>
    <row r="120" spans="1:14" ht="12.75">
      <c r="A120" s="33" t="s">
        <v>92</v>
      </c>
      <c r="B120" s="33" t="s">
        <v>566</v>
      </c>
      <c r="C120" s="34">
        <v>755</v>
      </c>
      <c r="D120" s="34" t="str">
        <f t="array" ref="D120">INDEX('Synergy import (8232022)'!A$1:L$229,MATCH(C120,'Synergy import (8232022)'!D$1:D$229,0),8)</f>
        <v>Martin, Erin L.</v>
      </c>
      <c r="E120" s="34" t="str">
        <f t="array" ref="E120">INDEX('Synergy import (8232022)'!A$1:L$229,MATCH(C120,'Synergy import (8232022)'!D$1:D$229,0),7)</f>
        <v>Erin_L_Martin@mcpsmd.org</v>
      </c>
      <c r="F120" s="60" t="s">
        <v>661</v>
      </c>
      <c r="G120" s="44" t="s">
        <v>95</v>
      </c>
      <c r="H120" s="36" t="s">
        <v>239</v>
      </c>
      <c r="I120" s="84"/>
      <c r="J120" s="39"/>
      <c r="K120" s="46"/>
      <c r="L120" s="10"/>
      <c r="M120" s="39"/>
      <c r="N120" s="49"/>
    </row>
    <row r="121" spans="1:14" ht="12.75">
      <c r="A121" s="33" t="s">
        <v>122</v>
      </c>
      <c r="B121" s="33" t="s">
        <v>590</v>
      </c>
      <c r="C121" s="34">
        <v>777</v>
      </c>
      <c r="D121" s="34" t="str">
        <f t="array" ref="D121">INDEX('Synergy import (8232022)'!A$1:L$229,MATCH(C121,'Synergy import (8232022)'!D$1:D$229,0),8)</f>
        <v>Mascott, Brent T.</v>
      </c>
      <c r="E121" s="34" t="str">
        <f t="array" ref="E121">INDEX('Synergy import (8232022)'!A$1:L$229,MATCH(C121,'Synergy import (8232022)'!D$1:D$229,0),7)</f>
        <v>Brent_T_Mascott@mcpsmd.org</v>
      </c>
      <c r="F121" s="60" t="s">
        <v>578</v>
      </c>
      <c r="G121" s="44" t="s">
        <v>535</v>
      </c>
      <c r="H121" s="36" t="s">
        <v>345</v>
      </c>
      <c r="I121" s="37" t="s">
        <v>81</v>
      </c>
      <c r="J121" s="39"/>
      <c r="K121" s="46"/>
      <c r="L121" s="10"/>
      <c r="M121" s="39"/>
      <c r="N121" s="49"/>
    </row>
    <row r="122" spans="1:14" ht="12.75">
      <c r="A122" s="33" t="s">
        <v>122</v>
      </c>
      <c r="B122" s="33" t="s">
        <v>400</v>
      </c>
      <c r="C122" s="50">
        <v>787</v>
      </c>
      <c r="D122" s="34" t="str">
        <f t="array" ref="D122">INDEX('Synergy import (8232022)'!A$1:L$229,MATCH(C122,'Synergy import (8232022)'!D$1:D$229,0),8)</f>
        <v>McLaughlin, Megan M.</v>
      </c>
      <c r="E122" s="34" t="str">
        <f t="array" ref="E122">INDEX('Synergy import (8232022)'!A$1:L$229,MATCH(C122,'Synergy import (8232022)'!D$1:D$229,0),7)</f>
        <v>Megan_M_McLaughlin@mcpsmd.org</v>
      </c>
      <c r="F122" s="51" t="s">
        <v>649</v>
      </c>
      <c r="G122" s="44" t="s">
        <v>209</v>
      </c>
      <c r="H122" s="36" t="s">
        <v>353</v>
      </c>
      <c r="I122" s="37" t="s">
        <v>401</v>
      </c>
      <c r="J122" s="39"/>
      <c r="K122" s="57"/>
      <c r="L122" s="49"/>
      <c r="M122" s="38" t="s">
        <v>697</v>
      </c>
      <c r="N122" s="49"/>
    </row>
    <row r="123" spans="1:14" ht="12.75">
      <c r="A123" s="33" t="s">
        <v>36</v>
      </c>
      <c r="B123" s="33" t="s">
        <v>472</v>
      </c>
      <c r="C123" s="34">
        <v>315</v>
      </c>
      <c r="D123" s="34" t="str">
        <f t="array" ref="D123">INDEX('Synergy import (8232022)'!A$1:L$229,MATCH(C123,'Synergy import (8232022)'!D$1:D$229,0),8)</f>
        <v>Mirshah-nayar, Afie A.</v>
      </c>
      <c r="E123" s="34" t="str">
        <f t="array" ref="E123">INDEX('Synergy import (8232022)'!A$1:L$229,MATCH(C123,'Synergy import (8232022)'!D$1:D$229,0),7)</f>
        <v>Afie_A_Mirshah-nayar@mcpsmd.org</v>
      </c>
      <c r="F123" s="60" t="s">
        <v>256</v>
      </c>
      <c r="G123" s="44" t="s">
        <v>146</v>
      </c>
      <c r="H123" s="36" t="s">
        <v>470</v>
      </c>
      <c r="I123" s="55"/>
      <c r="J123" s="39"/>
      <c r="K123" s="46"/>
      <c r="L123" s="49" t="s">
        <v>440</v>
      </c>
      <c r="M123" s="38" t="s">
        <v>698</v>
      </c>
      <c r="N123" s="49"/>
    </row>
    <row r="124" spans="1:14" ht="12.75">
      <c r="A124" s="33" t="s">
        <v>74</v>
      </c>
      <c r="B124" s="33" t="s">
        <v>75</v>
      </c>
      <c r="C124" s="50">
        <v>406</v>
      </c>
      <c r="D124" s="34" t="str">
        <f t="array" ref="D124">INDEX('Synergy import (8232022)'!A$1:L$229,MATCH(C124,'Synergy import (8232022)'!D$1:D$229,0),8)</f>
        <v>Mooney, Shelton L. Jr</v>
      </c>
      <c r="E124" s="34" t="str">
        <f t="array" ref="E124">INDEX('Synergy import (8232022)'!A$1:L$229,MATCH(C124,'Synergy import (8232022)'!D$1:D$229,0),7)</f>
        <v>Shelton_Mooney@mcpsmd.org</v>
      </c>
      <c r="F124" s="51" t="s">
        <v>76</v>
      </c>
      <c r="G124" s="44" t="s">
        <v>77</v>
      </c>
      <c r="H124" s="36" t="s">
        <v>79</v>
      </c>
      <c r="I124" s="37" t="s">
        <v>81</v>
      </c>
      <c r="J124" s="39"/>
      <c r="K124" s="46"/>
      <c r="L124" s="10"/>
      <c r="M124" s="38" t="s">
        <v>699</v>
      </c>
      <c r="N124" s="49"/>
    </row>
    <row r="125" spans="1:14" ht="12.75">
      <c r="A125" s="33" t="s">
        <v>129</v>
      </c>
      <c r="B125" s="33" t="s">
        <v>369</v>
      </c>
      <c r="C125" s="34">
        <v>360</v>
      </c>
      <c r="D125" s="34" t="str">
        <f t="array" ref="D125">INDEX('Synergy import (8232022)'!A$1:L$229,MATCH(C125,'Synergy import (8232022)'!D$1:D$229,0),8)</f>
        <v>Morris, Ron</v>
      </c>
      <c r="E125" s="34" t="str">
        <f t="array" ref="E125">INDEX('Synergy import (8232022)'!A$1:L$229,MATCH(C125,'Synergy import (8232022)'!D$1:D$229,0),7)</f>
        <v>Ron_Morris@mcpsmd.org</v>
      </c>
      <c r="F125" s="60" t="s">
        <v>166</v>
      </c>
      <c r="G125" s="44" t="s">
        <v>370</v>
      </c>
      <c r="H125" s="36" t="s">
        <v>133</v>
      </c>
      <c r="I125" s="55"/>
      <c r="J125" s="39"/>
      <c r="K125" s="57"/>
      <c r="L125" s="49"/>
      <c r="M125" s="38"/>
      <c r="N125" s="49"/>
    </row>
    <row r="126" spans="1:14" ht="12.75">
      <c r="A126" s="33" t="s">
        <v>195</v>
      </c>
      <c r="B126" s="33" t="s">
        <v>415</v>
      </c>
      <c r="C126" s="50">
        <v>158</v>
      </c>
      <c r="D126" s="34" t="str">
        <f t="array" ref="D126">INDEX('Synergy import (8232022)'!A$1:L$229,MATCH(C126,'Synergy import (8232022)'!D$1:D$229,0),8)</f>
        <v>Moses, Sherilyn R.</v>
      </c>
      <c r="E126" s="34" t="str">
        <f t="array" ref="E126">INDEX('Synergy import (8232022)'!A$1:L$229,MATCH(C126,'Synergy import (8232022)'!D$1:D$229,0),7)</f>
        <v>Sherilyn_R_Moses@mcpsmd.org</v>
      </c>
      <c r="F126" s="51" t="s">
        <v>390</v>
      </c>
      <c r="G126" s="44" t="s">
        <v>272</v>
      </c>
      <c r="H126" s="36" t="s">
        <v>206</v>
      </c>
      <c r="I126" s="55"/>
      <c r="J126" s="39"/>
      <c r="K126" s="46"/>
      <c r="L126" s="10"/>
      <c r="M126" s="38" t="s">
        <v>700</v>
      </c>
      <c r="N126" s="49"/>
    </row>
    <row r="127" spans="1:14" ht="12.75">
      <c r="A127" s="33" t="s">
        <v>291</v>
      </c>
      <c r="B127" s="33" t="s">
        <v>292</v>
      </c>
      <c r="C127" s="50">
        <v>248</v>
      </c>
      <c r="D127" s="34" t="str">
        <f t="array" ref="D127">INDEX('Synergy import (8232022)'!A$1:L$229,MATCH(C127,'Synergy import (8232022)'!D$1:D$229,0),8)</f>
        <v>Muhammad, Shahid A.</v>
      </c>
      <c r="E127" s="34" t="str">
        <f t="array" ref="E127">INDEX('Synergy import (8232022)'!A$1:L$229,MATCH(C127,'Synergy import (8232022)'!D$1:D$229,0),7)</f>
        <v>Shahid_Muhammad@mcpsmd.org</v>
      </c>
      <c r="F127" s="51" t="s">
        <v>293</v>
      </c>
      <c r="G127" s="44" t="s">
        <v>272</v>
      </c>
      <c r="H127" s="36" t="s">
        <v>672</v>
      </c>
      <c r="I127" s="37" t="s">
        <v>294</v>
      </c>
      <c r="J127" s="59"/>
      <c r="K127" s="46"/>
      <c r="L127" s="10"/>
      <c r="M127" s="38" t="s">
        <v>701</v>
      </c>
      <c r="N127" s="49"/>
    </row>
    <row r="128" spans="1:14" ht="12.75">
      <c r="A128" s="33" t="s">
        <v>122</v>
      </c>
      <c r="B128" s="33" t="s">
        <v>597</v>
      </c>
      <c r="C128" s="34">
        <v>782</v>
      </c>
      <c r="D128" s="34" t="str">
        <f t="array" ref="D128">INDEX('Synergy import (8232022)'!A$1:L$229,MATCH(C128,'Synergy import (8232022)'!D$1:D$229,0),8)</f>
        <v>Munsey, Joshua H.</v>
      </c>
      <c r="E128" s="34" t="str">
        <f t="array" ref="E128">INDEX('Synergy import (8232022)'!A$1:L$229,MATCH(C128,'Synergy import (8232022)'!D$1:D$229,0),7)</f>
        <v>Joshua_H_Munsey@mcpsmd.org</v>
      </c>
      <c r="F128" s="43" t="s">
        <v>598</v>
      </c>
      <c r="G128" s="44" t="s">
        <v>599</v>
      </c>
      <c r="H128" s="36" t="s">
        <v>345</v>
      </c>
      <c r="I128" s="55"/>
      <c r="J128" s="38" t="s">
        <v>601</v>
      </c>
      <c r="K128" s="46"/>
      <c r="L128" s="10"/>
      <c r="M128" s="39"/>
      <c r="N128" s="49"/>
    </row>
    <row r="129" spans="1:14" ht="12.75">
      <c r="A129" s="33" t="s">
        <v>154</v>
      </c>
      <c r="B129" s="33" t="s">
        <v>527</v>
      </c>
      <c r="C129" s="50">
        <v>565</v>
      </c>
      <c r="D129" s="34" t="str">
        <f t="array" ref="D129">INDEX('Synergy import (8232022)'!A$1:L$229,MATCH(C129,'Synergy import (8232022)'!D$1:D$229,0),8)</f>
        <v>Murphy, Megan H.</v>
      </c>
      <c r="E129" s="34" t="str">
        <f t="array" ref="E129">INDEX('Synergy import (8232022)'!A$1:L$229,MATCH(C129,'Synergy import (8232022)'!D$1:D$229,0),7)</f>
        <v>Megan_H_Murphy@mcpsmd.org</v>
      </c>
      <c r="F129" s="56" t="s">
        <v>495</v>
      </c>
      <c r="G129" s="44" t="s">
        <v>758</v>
      </c>
      <c r="H129" s="36" t="s">
        <v>157</v>
      </c>
      <c r="I129" s="55"/>
      <c r="J129" s="39"/>
      <c r="K129" s="46"/>
      <c r="L129" s="49" t="s">
        <v>702</v>
      </c>
      <c r="M129" s="38" t="s">
        <v>703</v>
      </c>
      <c r="N129" s="49"/>
    </row>
    <row r="130" spans="1:14" ht="12.75">
      <c r="A130" s="33" t="s">
        <v>154</v>
      </c>
      <c r="B130" s="33" t="s">
        <v>529</v>
      </c>
      <c r="C130" s="50">
        <v>521</v>
      </c>
      <c r="D130" s="34" t="str">
        <f t="array" ref="D130">INDEX('Synergy import (8232022)'!A$1:L$229,MATCH(C130,'Synergy import (8232022)'!D$1:D$229,0),8)</f>
        <v>Murray, Alana D.</v>
      </c>
      <c r="E130" s="34" t="str">
        <f t="array" ref="E130">INDEX('Synergy import (8232022)'!A$1:L$229,MATCH(C130,'Synergy import (8232022)'!D$1:D$229,0),7)</f>
        <v>Alana_D_Murray@mcpsmd.org</v>
      </c>
      <c r="F130" s="56" t="s">
        <v>530</v>
      </c>
      <c r="G130" s="44" t="s">
        <v>54</v>
      </c>
      <c r="H130" s="36" t="s">
        <v>171</v>
      </c>
      <c r="I130" s="55"/>
      <c r="J130" s="39"/>
      <c r="K130" s="57"/>
      <c r="L130" s="49" t="s">
        <v>463</v>
      </c>
      <c r="M130" s="38" t="s">
        <v>704</v>
      </c>
      <c r="N130" s="49"/>
    </row>
    <row r="131" spans="1:14" ht="12.75" hidden="1">
      <c r="A131" s="33" t="s">
        <v>41</v>
      </c>
      <c r="B131" s="33" t="s">
        <v>487</v>
      </c>
      <c r="C131" s="33">
        <v>428</v>
      </c>
      <c r="D131" s="34" t="str">
        <f t="array" ref="D131">INDEX('Synergy import (8232022)'!A$1:L$229,MATCH(C131,'Synergy import (8232022)'!D$1:D$229,0),8)</f>
        <v>Nardi, Christopher B.</v>
      </c>
      <c r="E131" s="34" t="str">
        <f t="array" ref="E131">INDEX('Synergy import (8232022)'!A$1:L$229,MATCH(C131,'Synergy import (8232022)'!D$1:D$229,0),7)</f>
        <v>Christopher_B_Nardi@mcpsmd.org</v>
      </c>
      <c r="F131" s="100" t="s">
        <v>488</v>
      </c>
      <c r="G131" s="52"/>
      <c r="H131" s="36" t="s">
        <v>43</v>
      </c>
      <c r="I131" s="55"/>
      <c r="J131" s="39"/>
      <c r="K131" s="57"/>
      <c r="L131" s="49"/>
      <c r="M131" s="38"/>
      <c r="N131" s="49"/>
    </row>
    <row r="132" spans="1:14" ht="12.75">
      <c r="A132" s="33" t="s">
        <v>129</v>
      </c>
      <c r="B132" s="33" t="s">
        <v>407</v>
      </c>
      <c r="C132" s="50">
        <v>244</v>
      </c>
      <c r="D132" s="34" t="str">
        <f t="array" ref="D132">INDEX('Synergy import (8232022)'!A$1:L$229,MATCH(C132,'Synergy import (8232022)'!D$1:D$229,0),8)</f>
        <v>Nazzaro, Pamela S.</v>
      </c>
      <c r="E132" s="34" t="str">
        <f t="array" ref="E132">INDEX('Synergy import (8232022)'!A$1:L$229,MATCH(C132,'Synergy import (8232022)'!D$1:D$229,0),7)</f>
        <v>Pamela_S_Nazzaro@mcpsmd.org</v>
      </c>
      <c r="F132" s="51" t="s">
        <v>547</v>
      </c>
      <c r="G132" s="44" t="s">
        <v>370</v>
      </c>
      <c r="H132" s="36" t="s">
        <v>167</v>
      </c>
      <c r="I132" s="55"/>
      <c r="J132" s="39"/>
      <c r="K132" s="46"/>
      <c r="L132" s="10"/>
      <c r="M132" s="39"/>
      <c r="N132" s="49"/>
    </row>
    <row r="133" spans="1:14" ht="25.5" hidden="1">
      <c r="A133" s="33" t="s">
        <v>211</v>
      </c>
      <c r="B133" s="33" t="s">
        <v>620</v>
      </c>
      <c r="C133" s="50">
        <v>234</v>
      </c>
      <c r="D133" s="34" t="str">
        <f t="array" ref="D133">INDEX('Synergy import (8232022)'!A$1:L$229,MATCH(C133,'Synergy import (8232022)'!D$1:D$229,0),8)</f>
        <v>Nelson, Douglas E.</v>
      </c>
      <c r="E133" s="34" t="str">
        <f t="array" ref="E133">INDEX('Synergy import (8232022)'!A$1:L$229,MATCH(C133,'Synergy import (8232022)'!D$1:D$229,0),7)</f>
        <v>Douglas_E_Nelson@mcpsmd.org</v>
      </c>
      <c r="F133" s="56" t="s">
        <v>656</v>
      </c>
      <c r="G133" s="52"/>
      <c r="H133" s="36" t="s">
        <v>657</v>
      </c>
      <c r="I133" s="55"/>
      <c r="J133" s="39"/>
      <c r="K133" s="57"/>
      <c r="L133" s="49"/>
      <c r="M133" s="81" t="s">
        <v>706</v>
      </c>
      <c r="N133" s="49"/>
    </row>
    <row r="134" spans="1:14" ht="25.5">
      <c r="A134" s="33" t="s">
        <v>10</v>
      </c>
      <c r="B134" s="33" t="s">
        <v>560</v>
      </c>
      <c r="C134" s="50">
        <v>822</v>
      </c>
      <c r="D134" s="34" t="str">
        <f t="array" ref="D134">INDEX('Synergy import (8232022)'!A$1:L$229,MATCH(C134,'Synergy import (8232022)'!D$1:D$229,0),8)</f>
        <v>Nelson, Tivinia G.</v>
      </c>
      <c r="E134" s="34" t="str">
        <f t="array" ref="E134">INDEX('Synergy import (8232022)'!A$1:L$229,MATCH(C134,'Synergy import (8232022)'!D$1:D$229,0),7)</f>
        <v>Tivinia_G_Nelson@mcpsmd.org</v>
      </c>
      <c r="F134" s="51" t="s">
        <v>62</v>
      </c>
      <c r="G134" s="44" t="s">
        <v>19</v>
      </c>
      <c r="H134" s="36" t="s">
        <v>21</v>
      </c>
      <c r="I134" s="55"/>
      <c r="J134" s="39"/>
      <c r="K134" s="57"/>
      <c r="L134" s="49"/>
      <c r="M134" s="38"/>
      <c r="N134" s="49"/>
    </row>
    <row r="135" spans="1:14" ht="12.75" hidden="1">
      <c r="A135" s="33" t="s">
        <v>284</v>
      </c>
      <c r="B135" s="33" t="s">
        <v>542</v>
      </c>
      <c r="C135" s="50">
        <v>517</v>
      </c>
      <c r="D135" s="34" t="str">
        <f t="array" ref="D135">INDEX('Synergy import (8232022)'!A$1:L$229,MATCH(C135,'Synergy import (8232022)'!D$1:D$229,0),8)</f>
        <v>Nesmith, Stephanie W.</v>
      </c>
      <c r="E135" s="34" t="str">
        <f t="array" ref="E135">INDEX('Synergy import (8232022)'!A$1:L$229,MATCH(C135,'Synergy import (8232022)'!D$1:D$229,0),7)</f>
        <v>Stephanie_W_Nesmith@mcpsmd.org</v>
      </c>
      <c r="F135" s="51" t="s">
        <v>683</v>
      </c>
      <c r="G135" s="52"/>
      <c r="H135" s="36" t="s">
        <v>518</v>
      </c>
      <c r="I135" s="55"/>
      <c r="J135" s="39"/>
      <c r="K135" s="57"/>
      <c r="L135" s="49"/>
      <c r="M135" s="38"/>
      <c r="N135" s="49"/>
    </row>
    <row r="136" spans="1:14" ht="12.75">
      <c r="A136" s="33" t="s">
        <v>154</v>
      </c>
      <c r="B136" s="33" t="s">
        <v>494</v>
      </c>
      <c r="C136" s="50">
        <v>562</v>
      </c>
      <c r="D136" s="34" t="str">
        <f t="array" ref="D136">INDEX('Synergy import (8232022)'!A$1:L$229,MATCH(C136,'Synergy import (8232022)'!D$1:D$229,0),8)</f>
        <v>Niper, Matthew T.</v>
      </c>
      <c r="E136" s="34" t="str">
        <f t="array" ref="E136">INDEX('Synergy import (8232022)'!A$1:L$229,MATCH(C136,'Synergy import (8232022)'!D$1:D$229,0),7)</f>
        <v>Matthew_T_Niper@mcpsmd.org</v>
      </c>
      <c r="F136" s="56" t="s">
        <v>495</v>
      </c>
      <c r="G136" s="44" t="s">
        <v>758</v>
      </c>
      <c r="H136" s="36" t="s">
        <v>171</v>
      </c>
      <c r="I136" s="55"/>
      <c r="J136" s="39"/>
      <c r="K136" s="46"/>
      <c r="L136" s="49" t="s">
        <v>552</v>
      </c>
      <c r="M136" s="38" t="s">
        <v>707</v>
      </c>
      <c r="N136" s="49"/>
    </row>
    <row r="137" spans="1:14" ht="12.75">
      <c r="A137" s="33" t="s">
        <v>92</v>
      </c>
      <c r="B137" s="33" t="s">
        <v>479</v>
      </c>
      <c r="C137" s="50">
        <v>749</v>
      </c>
      <c r="D137" s="34" t="str">
        <f t="array" ref="D137">INDEX('Synergy import (8232022)'!A$1:L$229,MATCH(C137,'Synergy import (8232022)'!D$1:D$229,0),8)</f>
        <v>Oberdorf, Christine D.</v>
      </c>
      <c r="E137" s="34" t="str">
        <f t="array" ref="E137">INDEX('Synergy import (8232022)'!A$1:L$229,MATCH(C137,'Synergy import (8232022)'!D$1:D$229,0),7)</f>
        <v>Christine_D_Oberdorf@mcpsmd.org</v>
      </c>
      <c r="F137" s="51" t="s">
        <v>480</v>
      </c>
      <c r="G137" s="44" t="s">
        <v>361</v>
      </c>
      <c r="H137" s="36" t="s">
        <v>239</v>
      </c>
      <c r="I137" s="55"/>
      <c r="J137" s="39"/>
      <c r="K137" s="46"/>
      <c r="L137" s="10"/>
      <c r="M137" s="38" t="s">
        <v>708</v>
      </c>
      <c r="N137" s="49"/>
    </row>
    <row r="138" spans="1:14" ht="12.75">
      <c r="A138" s="33" t="s">
        <v>36</v>
      </c>
      <c r="B138" s="33" t="s">
        <v>338</v>
      </c>
      <c r="C138" s="50">
        <v>334</v>
      </c>
      <c r="D138" s="34" t="str">
        <f t="array" ref="D138">INDEX('Synergy import (8232022)'!A$1:L$229,MATCH(C138,'Synergy import (8232022)'!D$1:D$229,0),8)</f>
        <v>Obstgarten, Robert A.</v>
      </c>
      <c r="E138" s="34" t="str">
        <f t="array" ref="E138">INDEX('Synergy import (8232022)'!A$1:L$229,MATCH(C138,'Synergy import (8232022)'!D$1:D$229,0),7)</f>
        <v>Robert_A_Obstgarten@mcpsmd.org</v>
      </c>
      <c r="F138" s="56" t="s">
        <v>268</v>
      </c>
      <c r="G138" s="44" t="s">
        <v>146</v>
      </c>
      <c r="H138" s="36" t="s">
        <v>269</v>
      </c>
      <c r="I138" s="55"/>
      <c r="J138" s="39"/>
      <c r="K138" s="57"/>
      <c r="L138" s="49"/>
      <c r="M138" s="38" t="s">
        <v>709</v>
      </c>
      <c r="N138" s="49"/>
    </row>
    <row r="139" spans="1:14" ht="12.75">
      <c r="A139" s="33" t="s">
        <v>383</v>
      </c>
      <c r="B139" s="33" t="s">
        <v>384</v>
      </c>
      <c r="C139" s="50">
        <v>107</v>
      </c>
      <c r="D139" s="34" t="str">
        <f t="array" ref="D139">INDEX('Synergy import (8232022)'!A$1:L$229,MATCH(C139,'Synergy import (8232022)'!D$1:D$229,0),8)</f>
        <v>Overton, Brandi K.</v>
      </c>
      <c r="E139" s="34" t="str">
        <f t="array" ref="E139">INDEX('Synergy import (8232022)'!A$1:L$229,MATCH(C139,'Synergy import (8232022)'!D$1:D$229,0),7)</f>
        <v>Brandi_Richardson@mcpsmd.org</v>
      </c>
      <c r="F139" s="56" t="s">
        <v>224</v>
      </c>
      <c r="G139" s="44" t="s">
        <v>385</v>
      </c>
      <c r="H139" s="36" t="s">
        <v>689</v>
      </c>
      <c r="I139" s="55"/>
      <c r="J139" s="39"/>
      <c r="K139" s="46"/>
      <c r="L139" s="10"/>
      <c r="M139" s="39"/>
      <c r="N139" s="49"/>
    </row>
    <row r="140" spans="1:14" ht="12.75">
      <c r="A140" s="33" t="s">
        <v>148</v>
      </c>
      <c r="B140" s="33" t="s">
        <v>185</v>
      </c>
      <c r="C140" s="50">
        <v>249</v>
      </c>
      <c r="D140" s="34" t="str">
        <f t="array" ref="D140">INDEX('Synergy import (8232022)'!A$1:L$229,MATCH(C140,'Synergy import (8232022)'!D$1:D$229,0),8)</f>
        <v>Owusu, Edward K.</v>
      </c>
      <c r="E140" s="34" t="str">
        <f t="array" ref="E140">INDEX('Synergy import (8232022)'!A$1:L$229,MATCH(C140,'Synergy import (8232022)'!D$1:D$229,0),7)</f>
        <v>Edward_K_Owusu@mcpsmd.org</v>
      </c>
      <c r="F140" s="56" t="s">
        <v>186</v>
      </c>
      <c r="G140" s="44" t="s">
        <v>183</v>
      </c>
      <c r="H140" s="36" t="s">
        <v>251</v>
      </c>
      <c r="I140" s="37" t="s">
        <v>187</v>
      </c>
      <c r="J140" s="39"/>
      <c r="K140" s="57"/>
      <c r="L140" s="49"/>
      <c r="M140" s="38"/>
      <c r="N140" s="49"/>
    </row>
    <row r="141" spans="1:14" ht="12.75">
      <c r="A141" s="33" t="s">
        <v>284</v>
      </c>
      <c r="B141" s="33" t="s">
        <v>517</v>
      </c>
      <c r="C141" s="50">
        <v>771</v>
      </c>
      <c r="D141" s="34" t="str">
        <f t="array" ref="D141">INDEX('Synergy import (8232022)'!A$1:L$229,MATCH(C141,'Synergy import (8232022)'!D$1:D$229,0),8)</f>
        <v>Palladino, Jessica V.</v>
      </c>
      <c r="E141" s="34" t="str">
        <f t="array" ref="E141">INDEX('Synergy import (8232022)'!A$1:L$229,MATCH(C141,'Synergy import (8232022)'!D$1:D$229,0),7)</f>
        <v>Jessica_V_Palladino@mcpsmd.org</v>
      </c>
      <c r="F141" s="56" t="s">
        <v>455</v>
      </c>
      <c r="G141" s="44" t="s">
        <v>361</v>
      </c>
      <c r="H141" s="36" t="s">
        <v>518</v>
      </c>
      <c r="I141" s="37" t="s">
        <v>520</v>
      </c>
      <c r="J141" s="39"/>
      <c r="K141" s="46"/>
      <c r="L141" s="10"/>
      <c r="M141" s="38" t="s">
        <v>710</v>
      </c>
      <c r="N141" s="49"/>
    </row>
    <row r="142" spans="1:14" ht="12.75" hidden="1">
      <c r="A142" s="33" t="s">
        <v>69</v>
      </c>
      <c r="B142" s="33" t="s">
        <v>70</v>
      </c>
      <c r="C142" s="50">
        <v>513</v>
      </c>
      <c r="D142" s="34" t="str">
        <f t="array" ref="D142">INDEX('Synergy import (8232022)'!A$1:L$229,MATCH(C142,'Synergy import (8232022)'!D$1:D$229,0),8)</f>
        <v>Pinkowitz, Evan J.</v>
      </c>
      <c r="E142" s="34" t="str">
        <f t="array" ref="E142">INDEX('Synergy import (8232022)'!A$1:L$229,MATCH(C142,'Synergy import (8232022)'!D$1:D$229,0),7)</f>
        <v>Evan_J_Pinkowitz@mcpsmd.org</v>
      </c>
      <c r="F142" s="56" t="s">
        <v>71</v>
      </c>
      <c r="G142" s="52"/>
      <c r="H142" s="36" t="s">
        <v>72</v>
      </c>
      <c r="I142" s="55"/>
      <c r="J142" s="59"/>
      <c r="K142" s="46"/>
      <c r="L142" s="10"/>
      <c r="M142" s="38"/>
      <c r="N142" s="49"/>
    </row>
    <row r="143" spans="1:14" ht="12.75">
      <c r="A143" s="33" t="s">
        <v>129</v>
      </c>
      <c r="B143" s="33" t="s">
        <v>130</v>
      </c>
      <c r="C143" s="34">
        <v>559</v>
      </c>
      <c r="D143" s="34" t="str">
        <f t="array" ref="D143">INDEX('Synergy import (8232022)'!A$1:L$229,MATCH(C143,'Synergy import (8232022)'!D$1:D$229,0),8)</f>
        <v>Powell, Mary Jo</v>
      </c>
      <c r="E143" s="34" t="str">
        <f t="array" ref="E143">INDEX('Synergy import (8232022)'!A$1:L$229,MATCH(C143,'Synergy import (8232022)'!D$1:D$229,0),7)</f>
        <v>MaryJo_Powell@mcpsmd.org</v>
      </c>
      <c r="F143" s="60" t="s">
        <v>647</v>
      </c>
      <c r="G143" s="44" t="s">
        <v>131</v>
      </c>
      <c r="H143" s="36" t="s">
        <v>133</v>
      </c>
      <c r="I143" s="37" t="s">
        <v>135</v>
      </c>
      <c r="J143" s="59"/>
      <c r="K143" s="46"/>
      <c r="L143" s="49" t="s">
        <v>485</v>
      </c>
      <c r="M143" s="38" t="s">
        <v>711</v>
      </c>
      <c r="N143" s="49"/>
    </row>
    <row r="144" spans="1:14" ht="12.75">
      <c r="A144" s="33" t="s">
        <v>45</v>
      </c>
      <c r="B144" s="33" t="s">
        <v>408</v>
      </c>
      <c r="C144" s="50">
        <v>210</v>
      </c>
      <c r="D144" s="34" t="str">
        <f t="array" ref="D144">INDEX('Synergy import (8232022)'!A$1:L$229,MATCH(C144,'Synergy import (8232022)'!D$1:D$229,0),8)</f>
        <v>Prin, Margaret S.</v>
      </c>
      <c r="E144" s="34" t="str">
        <f t="array" ref="E144">INDEX('Synergy import (8232022)'!A$1:L$229,MATCH(C144,'Synergy import (8232022)'!D$1:D$229,0),7)</f>
        <v>Margaret_S_Prin@mcpsmd.org</v>
      </c>
      <c r="F144" s="56" t="s">
        <v>409</v>
      </c>
      <c r="G144" s="44" t="s">
        <v>410</v>
      </c>
      <c r="H144" s="36" t="s">
        <v>50</v>
      </c>
      <c r="I144" s="55"/>
      <c r="J144" s="39"/>
      <c r="K144" s="57"/>
      <c r="L144" s="49"/>
      <c r="M144" s="38"/>
      <c r="N144" s="49"/>
    </row>
    <row r="145" spans="1:14" ht="12.75">
      <c r="A145" s="33" t="s">
        <v>45</v>
      </c>
      <c r="B145" s="33" t="s">
        <v>513</v>
      </c>
      <c r="C145" s="34">
        <v>230</v>
      </c>
      <c r="D145" s="34" t="str">
        <f t="array" ref="D145">INDEX('Synergy import (8232022)'!A$1:L$229,MATCH(C145,'Synergy import (8232022)'!D$1:D$229,0),8)</f>
        <v>Pyles, Rhoshanda M.</v>
      </c>
      <c r="E145" s="34" t="str">
        <f t="array" ref="E145">INDEX('Synergy import (8232022)'!A$1:L$229,MATCH(C145,'Synergy import (8232022)'!D$1:D$229,0),7)</f>
        <v>Rhoshanda_M_Pyles@mcpsmd.org</v>
      </c>
      <c r="F145" s="34" t="s">
        <v>759</v>
      </c>
      <c r="G145" s="44" t="s">
        <v>514</v>
      </c>
      <c r="H145" s="36" t="s">
        <v>50</v>
      </c>
      <c r="I145" s="55"/>
      <c r="J145" s="59"/>
      <c r="K145" s="46"/>
      <c r="L145" s="10"/>
      <c r="M145" s="38" t="s">
        <v>712</v>
      </c>
      <c r="N145" s="49"/>
    </row>
    <row r="146" spans="1:14" ht="12.75">
      <c r="A146" s="33" t="s">
        <v>122</v>
      </c>
      <c r="B146" s="33" t="s">
        <v>342</v>
      </c>
      <c r="C146" s="50">
        <v>797</v>
      </c>
      <c r="D146" s="34" t="str">
        <f t="array" ref="D146">INDEX('Synergy import (8232022)'!A$1:L$229,MATCH(C146,'Synergy import (8232022)'!D$1:D$229,0),8)</f>
        <v>Rawlison, Carole E.</v>
      </c>
      <c r="E146" s="34" t="str">
        <f t="array" ref="E146">INDEX('Synergy import (8232022)'!A$1:L$229,MATCH(C146,'Synergy import (8232022)'!D$1:D$229,0),7)</f>
        <v>Carole_E_Rawlison@mcpsmd.org</v>
      </c>
      <c r="F146" s="51" t="s">
        <v>62</v>
      </c>
      <c r="G146" s="76" t="s">
        <v>343</v>
      </c>
      <c r="H146" s="36" t="s">
        <v>345</v>
      </c>
      <c r="I146" s="37" t="s">
        <v>681</v>
      </c>
      <c r="J146" s="39"/>
      <c r="K146" s="46"/>
      <c r="L146" s="49" t="s">
        <v>493</v>
      </c>
      <c r="M146" s="38" t="s">
        <v>713</v>
      </c>
      <c r="N146" s="49"/>
    </row>
    <row r="147" spans="1:14" ht="12.75" hidden="1">
      <c r="A147" s="33" t="s">
        <v>41</v>
      </c>
      <c r="B147" s="33" t="s">
        <v>137</v>
      </c>
      <c r="C147" s="34">
        <v>419</v>
      </c>
      <c r="D147" s="34" t="str">
        <f t="array" ref="D147">INDEX('Synergy import (8232022)'!A$1:L$229,MATCH(C147,'Synergy import (8232022)'!D$1:D$229,0),8)</f>
        <v>Redden, Jennifer</v>
      </c>
      <c r="E147" s="34" t="str">
        <f t="array" ref="E147">INDEX('Synergy import (8232022)'!A$1:L$229,MATCH(C147,'Synergy import (8232022)'!D$1:D$229,0),7)</f>
        <v>Jennifer_Redden@mcpsmd.org</v>
      </c>
      <c r="F147" s="43" t="s">
        <v>138</v>
      </c>
      <c r="G147" s="52"/>
      <c r="H147" s="36" t="s">
        <v>175</v>
      </c>
      <c r="I147" s="55"/>
      <c r="J147" s="39"/>
      <c r="K147" s="46"/>
      <c r="L147" s="10"/>
      <c r="M147" s="38" t="s">
        <v>714</v>
      </c>
      <c r="N147" s="49"/>
    </row>
    <row r="148" spans="1:14" ht="12.75" hidden="1">
      <c r="A148" s="33" t="s">
        <v>25</v>
      </c>
      <c r="B148" s="33" t="s">
        <v>26</v>
      </c>
      <c r="C148" s="50">
        <v>425</v>
      </c>
      <c r="D148" s="34" t="str">
        <f t="array" ref="D148">INDEX('Synergy import (8232022)'!A$1:L$229,MATCH(C148,'Synergy import (8232022)'!D$1:D$229,0),8)</f>
        <v>Reese, Monique</v>
      </c>
      <c r="E148" s="34" t="str">
        <f t="array" ref="E148">INDEX('Synergy import (8232022)'!A$1:L$229,MATCH(C148,'Synergy import (8232022)'!D$1:D$229,0),7)</f>
        <v>Monique_Reese@mcpsmd.org</v>
      </c>
      <c r="F148" s="51" t="s">
        <v>632</v>
      </c>
      <c r="G148" s="52"/>
      <c r="H148" s="53" t="s">
        <v>27</v>
      </c>
      <c r="I148" s="55"/>
      <c r="J148" s="39"/>
      <c r="K148" s="46"/>
      <c r="L148" s="10"/>
      <c r="M148" s="38"/>
      <c r="N148" s="49"/>
    </row>
    <row r="149" spans="1:14" ht="12.75" hidden="1">
      <c r="A149" s="33" t="s">
        <v>129</v>
      </c>
      <c r="B149" s="33" t="s">
        <v>165</v>
      </c>
      <c r="C149" s="34">
        <v>159</v>
      </c>
      <c r="D149" s="34" t="str">
        <f t="array" ref="D149">INDEX('Synergy import (8232022)'!A$1:L$229,MATCH(C149,'Synergy import (8232022)'!D$1:D$229,0),8)</f>
        <v>Reeves, Mindy D.</v>
      </c>
      <c r="E149" s="34" t="str">
        <f t="array" ref="E149">INDEX('Synergy import (8232022)'!A$1:L$229,MATCH(C149,'Synergy import (8232022)'!D$1:D$229,0),7)</f>
        <v>Mindy_D_Reeves@mcpsmd.org</v>
      </c>
      <c r="F149" s="60" t="s">
        <v>166</v>
      </c>
      <c r="G149" s="52"/>
      <c r="H149" s="36" t="s">
        <v>167</v>
      </c>
      <c r="I149" s="55"/>
      <c r="J149" s="59"/>
      <c r="K149" s="57"/>
      <c r="L149" s="49"/>
      <c r="M149" s="38" t="s">
        <v>715</v>
      </c>
      <c r="N149" s="49"/>
    </row>
    <row r="150" spans="1:14" ht="12.75" hidden="1">
      <c r="A150" s="33" t="s">
        <v>421</v>
      </c>
      <c r="B150" s="33" t="s">
        <v>483</v>
      </c>
      <c r="C150" s="50">
        <v>153</v>
      </c>
      <c r="D150" s="34" t="str">
        <f t="array" ref="D150">INDEX('Synergy import (8232022)'!A$1:L$229,MATCH(C150,'Synergy import (8232022)'!D$1:D$229,0),8)</f>
        <v>Robbins, Douglas M.</v>
      </c>
      <c r="E150" s="34" t="str">
        <f t="array" ref="E150">INDEX('Synergy import (8232022)'!A$1:L$229,MATCH(C150,'Synergy import (8232022)'!D$1:D$229,0),7)</f>
        <v>Douglas_M_Robbins@mcpsmd.org</v>
      </c>
      <c r="F150" s="56" t="s">
        <v>482</v>
      </c>
      <c r="G150" s="52"/>
      <c r="H150" s="36" t="s">
        <v>424</v>
      </c>
      <c r="I150" s="55"/>
      <c r="J150" s="39"/>
      <c r="K150" s="46"/>
      <c r="L150" s="10"/>
      <c r="M150" s="39"/>
      <c r="N150" s="49"/>
    </row>
    <row r="151" spans="1:14" ht="12.75">
      <c r="A151" s="33" t="s">
        <v>36</v>
      </c>
      <c r="B151" s="33" t="s">
        <v>113</v>
      </c>
      <c r="C151" s="50">
        <v>335</v>
      </c>
      <c r="D151" s="34" t="str">
        <f t="array" ref="D151">INDEX('Synergy import (8232022)'!A$1:L$229,MATCH(C151,'Synergy import (8232022)'!D$1:D$229,0),8)</f>
        <v>Robinson, Shawaan T.</v>
      </c>
      <c r="E151" s="34" t="str">
        <f t="array" ref="E151">INDEX('Synergy import (8232022)'!A$1:L$229,MATCH(C151,'Synergy import (8232022)'!D$1:D$229,0),7)</f>
        <v>Shawaan_T_Robinson@mcpsmd.org</v>
      </c>
      <c r="F151" s="56" t="s">
        <v>645</v>
      </c>
      <c r="G151" s="44" t="s">
        <v>114</v>
      </c>
      <c r="H151" s="36" t="s">
        <v>646</v>
      </c>
      <c r="I151" s="55"/>
      <c r="J151" s="39"/>
      <c r="K151" s="57"/>
      <c r="L151" s="49"/>
      <c r="M151" s="38" t="s">
        <v>716</v>
      </c>
      <c r="N151" s="49"/>
    </row>
    <row r="152" spans="1:14" ht="12.75">
      <c r="A152" s="33" t="s">
        <v>52</v>
      </c>
      <c r="B152" s="33" t="s">
        <v>214</v>
      </c>
      <c r="C152" s="34">
        <v>229</v>
      </c>
      <c r="D152" s="34" t="str">
        <f t="array" ref="D152">INDEX('Synergy import (8232022)'!A$1:L$229,MATCH(C152,'Synergy import (8232022)'!D$1:D$229,0),8)</f>
        <v>Rogovoy, Stacey F.</v>
      </c>
      <c r="E152" s="34" t="str">
        <f t="array" ref="E152">INDEX('Synergy import (8232022)'!A$1:L$229,MATCH(C152,'Synergy import (8232022)'!D$1:D$229,0),7)</f>
        <v>Stacey_F_Rogovoy@mcpsmd.org</v>
      </c>
      <c r="F152" s="60" t="s">
        <v>215</v>
      </c>
      <c r="G152" s="44" t="s">
        <v>170</v>
      </c>
      <c r="H152" s="36" t="s">
        <v>59</v>
      </c>
      <c r="I152" s="55"/>
      <c r="J152" s="39"/>
      <c r="K152" s="46"/>
      <c r="L152" s="10"/>
      <c r="M152" s="39"/>
      <c r="N152" s="49"/>
    </row>
    <row r="153" spans="1:14" ht="12.75" hidden="1">
      <c r="A153" s="33" t="s">
        <v>25</v>
      </c>
      <c r="B153" s="33" t="s">
        <v>381</v>
      </c>
      <c r="C153" s="50">
        <v>783</v>
      </c>
      <c r="D153" s="34" t="str">
        <f t="array" ref="D153">INDEX('Synergy import (8232022)'!A$1:L$229,MATCH(C153,'Synergy import (8232022)'!D$1:D$229,0),8)</f>
        <v>Ross, Candace M.</v>
      </c>
      <c r="E153" s="34" t="str">
        <f t="array" ref="E153">INDEX('Synergy import (8232022)'!A$1:L$229,MATCH(C153,'Synergy import (8232022)'!D$1:D$229,0),7)</f>
        <v>Candace_M_Ross@mcpsmd.org</v>
      </c>
      <c r="F153" s="56" t="s">
        <v>638</v>
      </c>
      <c r="G153" s="52"/>
      <c r="H153" s="36" t="s">
        <v>314</v>
      </c>
      <c r="I153" s="55"/>
      <c r="J153" s="39"/>
      <c r="K153" s="57"/>
      <c r="L153" s="49"/>
      <c r="M153" s="38"/>
      <c r="N153" s="49"/>
    </row>
    <row r="154" spans="1:14" ht="12.75">
      <c r="A154" s="33" t="s">
        <v>247</v>
      </c>
      <c r="B154" s="33" t="s">
        <v>465</v>
      </c>
      <c r="C154" s="50">
        <v>769</v>
      </c>
      <c r="D154" s="34" t="str">
        <f t="array" ref="D154">INDEX('Synergy import (8232022)'!A$1:L$229,MATCH(C154,'Synergy import (8232022)'!D$1:D$229,0),8)</f>
        <v>Royall, Elissa M.</v>
      </c>
      <c r="E154" s="34" t="str">
        <f t="array" ref="E154">INDEX('Synergy import (8232022)'!A$1:L$229,MATCH(C154,'Synergy import (8232022)'!D$1:D$229,0),7)</f>
        <v>Elissa_M_Royall@mcpsmd.org</v>
      </c>
      <c r="F154" s="56" t="s">
        <v>680</v>
      </c>
      <c r="G154" s="44" t="s">
        <v>760</v>
      </c>
      <c r="H154" s="36" t="s">
        <v>111</v>
      </c>
      <c r="I154" s="55"/>
      <c r="J154" s="39"/>
      <c r="K154" s="46"/>
      <c r="L154" s="10"/>
      <c r="M154" s="39"/>
      <c r="N154" s="49"/>
    </row>
    <row r="155" spans="1:14" ht="25.5">
      <c r="A155" s="33" t="s">
        <v>10</v>
      </c>
      <c r="B155" s="33" t="s">
        <v>374</v>
      </c>
      <c r="C155" s="50">
        <v>815</v>
      </c>
      <c r="D155" s="34" t="str">
        <f t="array" ref="D155">INDEX('Synergy import (8232022)'!A$1:L$229,MATCH(C155,'Synergy import (8232022)'!D$1:D$229,0),8)</f>
        <v>Rubens Jr, Joe L.</v>
      </c>
      <c r="E155" s="34" t="str">
        <f t="array" ref="E155">INDEX('Synergy import (8232022)'!A$1:L$229,MATCH(C155,'Synergy import (8232022)'!D$1:D$229,0),7)</f>
        <v>Joe_L_RubensJr@mcpsmd.org</v>
      </c>
      <c r="F155" s="51" t="s">
        <v>375</v>
      </c>
      <c r="G155" s="44" t="s">
        <v>376</v>
      </c>
      <c r="H155" s="36" t="s">
        <v>378</v>
      </c>
      <c r="I155" s="55"/>
      <c r="J155" s="38" t="s">
        <v>379</v>
      </c>
      <c r="K155" s="46"/>
      <c r="L155" s="10"/>
      <c r="M155" s="38" t="s">
        <v>669</v>
      </c>
      <c r="N155" s="49"/>
    </row>
    <row r="156" spans="1:14" ht="12.75" hidden="1">
      <c r="A156" s="33" t="s">
        <v>69</v>
      </c>
      <c r="B156" s="33" t="s">
        <v>476</v>
      </c>
      <c r="C156" s="50">
        <v>155</v>
      </c>
      <c r="D156" s="34" t="str">
        <f t="array" ref="D156">INDEX('Synergy import (8232022)'!A$1:L$229,MATCH(C156,'Synergy import (8232022)'!D$1:D$229,0),8)</f>
        <v>Sanders, Jewel A.</v>
      </c>
      <c r="E156" s="34" t="str">
        <f t="array" ref="E156">INDEX('Synergy import (8232022)'!A$1:L$229,MATCH(C156,'Synergy import (8232022)'!D$1:D$229,0),7)</f>
        <v>Jewel_A_Sanders@mcpsmd.org</v>
      </c>
      <c r="F156" s="56" t="s">
        <v>477</v>
      </c>
      <c r="G156" s="52"/>
      <c r="H156" s="36" t="s">
        <v>72</v>
      </c>
      <c r="I156" s="55"/>
      <c r="J156" s="39"/>
      <c r="K156" s="57"/>
      <c r="L156" s="49"/>
      <c r="M156" s="38"/>
      <c r="N156" s="49"/>
    </row>
    <row r="157" spans="1:14" ht="12.75">
      <c r="A157" s="33" t="s">
        <v>291</v>
      </c>
      <c r="B157" s="33" t="s">
        <v>561</v>
      </c>
      <c r="C157" s="50">
        <v>569</v>
      </c>
      <c r="D157" s="34" t="str">
        <f t="array" ref="D157">INDEX('Synergy import (8232022)'!A$1:L$229,MATCH(C157,'Synergy import (8232022)'!D$1:D$229,0),8)</f>
        <v>Scott, Patrick E.</v>
      </c>
      <c r="E157" s="34" t="str">
        <f t="array" ref="E157">INDEX('Synergy import (8232022)'!A$1:L$229,MATCH(C157,'Synergy import (8232022)'!D$1:D$229,0),7)</f>
        <v>Patrick_E_Scott@mcpsmd.org</v>
      </c>
      <c r="F157" s="56" t="s">
        <v>71</v>
      </c>
      <c r="G157" s="44" t="s">
        <v>562</v>
      </c>
      <c r="H157" s="36" t="s">
        <v>672</v>
      </c>
      <c r="I157" s="55"/>
      <c r="J157" s="59"/>
      <c r="K157" s="57"/>
      <c r="L157" s="49" t="s">
        <v>718</v>
      </c>
      <c r="M157" s="38" t="s">
        <v>719</v>
      </c>
      <c r="N157" s="49"/>
    </row>
    <row r="158" spans="1:14" ht="12.75" hidden="1">
      <c r="A158" s="33" t="s">
        <v>69</v>
      </c>
      <c r="B158" s="33" t="s">
        <v>339</v>
      </c>
      <c r="C158" s="50">
        <v>512</v>
      </c>
      <c r="D158" s="34" t="str">
        <f t="array" ref="D158">INDEX('Synergy import (8232022)'!A$1:L$229,MATCH(C158,'Synergy import (8232022)'!D$1:D$229,0),8)</f>
        <v>Seidel, Jennifer A.</v>
      </c>
      <c r="E158" s="34" t="str">
        <f t="array" ref="E158">INDEX('Synergy import (8232022)'!A$1:L$229,MATCH(C158,'Synergy import (8232022)'!D$1:D$229,0),7)</f>
        <v>Jennifer_A_Seidel@mcpsmd.org</v>
      </c>
      <c r="F158" s="56" t="s">
        <v>340</v>
      </c>
      <c r="G158" s="52"/>
      <c r="H158" s="36" t="s">
        <v>341</v>
      </c>
      <c r="I158" s="55"/>
      <c r="J158" s="39"/>
      <c r="K158" s="46"/>
      <c r="L158" s="10"/>
      <c r="M158" s="39"/>
      <c r="N158" s="49"/>
    </row>
    <row r="159" spans="1:14" ht="12.75" hidden="1">
      <c r="A159" s="33" t="s">
        <v>74</v>
      </c>
      <c r="B159" s="33" t="s">
        <v>594</v>
      </c>
      <c r="C159" s="34">
        <v>412</v>
      </c>
      <c r="D159" s="34" t="str">
        <f t="array" ref="D159">INDEX('Synergy import (8232022)'!A$1:L$229,MATCH(C159,'Synergy import (8232022)'!D$1:D$229,0),8)</f>
        <v>Serino, Alison L.</v>
      </c>
      <c r="E159" s="34" t="str">
        <f t="array" ref="E159">INDEX('Synergy import (8232022)'!A$1:L$229,MATCH(C159,'Synergy import (8232022)'!D$1:D$229,0),7)</f>
        <v>Alison_L_Serino@mcpsmd.org</v>
      </c>
      <c r="F159" s="60" t="s">
        <v>595</v>
      </c>
      <c r="G159" s="52"/>
      <c r="H159" s="36" t="s">
        <v>640</v>
      </c>
      <c r="I159" s="55"/>
      <c r="J159" s="39"/>
      <c r="K159" s="46"/>
      <c r="L159" s="10"/>
      <c r="M159" s="38" t="s">
        <v>720</v>
      </c>
      <c r="N159" s="49"/>
    </row>
    <row r="160" spans="1:14" ht="12.75" hidden="1">
      <c r="A160" s="33" t="s">
        <v>74</v>
      </c>
      <c r="B160" s="33" t="s">
        <v>84</v>
      </c>
      <c r="C160" s="50">
        <v>401</v>
      </c>
      <c r="D160" s="34" t="str">
        <f t="array" ref="D160">INDEX('Synergy import (8232022)'!A$1:L$229,MATCH(C160,'Synergy import (8232022)'!D$1:D$229,0),8)</f>
        <v>Seymour, Lisa S.</v>
      </c>
      <c r="E160" s="34" t="str">
        <f t="array" ref="E160">INDEX('Synergy import (8232022)'!A$1:L$229,MATCH(C160,'Synergy import (8232022)'!D$1:D$229,0),7)</f>
        <v>Lisa_Seymour@mcpsmd.org</v>
      </c>
      <c r="F160" s="51" t="s">
        <v>85</v>
      </c>
      <c r="G160" s="52"/>
      <c r="H160" s="36" t="s">
        <v>640</v>
      </c>
      <c r="I160" s="55"/>
      <c r="J160" s="39"/>
      <c r="K160" s="46"/>
      <c r="L160" s="10"/>
      <c r="M160" s="38"/>
      <c r="N160" s="49"/>
    </row>
    <row r="161" spans="1:14" ht="12.75">
      <c r="A161" s="33" t="s">
        <v>122</v>
      </c>
      <c r="B161" s="33" t="s">
        <v>473</v>
      </c>
      <c r="C161" s="50">
        <v>812</v>
      </c>
      <c r="D161" s="34" t="str">
        <f t="array" ref="D161">INDEX('Synergy import (8232022)'!A$1:L$229,MATCH(C161,'Synergy import (8232022)'!D$1:D$229,0),8)</f>
        <v>Shin, Aaron</v>
      </c>
      <c r="E161" s="34" t="str">
        <f t="array" ref="E161">INDEX('Synergy import (8232022)'!A$1:L$229,MATCH(C161,'Synergy import (8232022)'!D$1:D$229,0),7)</f>
        <v>Aaron_K_Shin@mcpsmd.org</v>
      </c>
      <c r="F161" s="56" t="s">
        <v>124</v>
      </c>
      <c r="G161" s="44" t="s">
        <v>343</v>
      </c>
      <c r="H161" s="36" t="s">
        <v>474</v>
      </c>
      <c r="I161" s="37" t="s">
        <v>475</v>
      </c>
      <c r="J161" s="39"/>
      <c r="K161" s="46"/>
      <c r="L161" s="10"/>
      <c r="M161" s="39"/>
      <c r="N161" s="49"/>
    </row>
    <row r="162" spans="1:14" ht="12.75">
      <c r="A162" s="33" t="s">
        <v>154</v>
      </c>
      <c r="B162" s="33" t="s">
        <v>419</v>
      </c>
      <c r="C162" s="50">
        <v>556</v>
      </c>
      <c r="D162" s="34" t="str">
        <f t="array" ref="D162">INDEX('Synergy import (8232022)'!A$1:L$229,MATCH(C162,'Synergy import (8232022)'!D$1:D$229,0),8)</f>
        <v>Shinn, Robyn A.</v>
      </c>
      <c r="E162" s="34" t="str">
        <f t="array" ref="E162">INDEX('Synergy import (8232022)'!A$1:L$229,MATCH(C162,'Synergy import (8232022)'!D$1:D$229,0),7)</f>
        <v>Robyn_A_Shinn-Miller@mcpsmd.org</v>
      </c>
      <c r="F162" s="56" t="s">
        <v>405</v>
      </c>
      <c r="G162" s="44" t="s">
        <v>675</v>
      </c>
      <c r="H162" s="36" t="s">
        <v>157</v>
      </c>
      <c r="I162" s="55"/>
      <c r="J162" s="39"/>
      <c r="K162" s="46"/>
      <c r="L162" s="10"/>
      <c r="M162" s="39"/>
      <c r="N162" s="49"/>
    </row>
    <row r="163" spans="1:14" ht="12.75">
      <c r="A163" s="33" t="s">
        <v>92</v>
      </c>
      <c r="B163" s="33" t="s">
        <v>241</v>
      </c>
      <c r="C163" s="34">
        <v>775</v>
      </c>
      <c r="D163" s="34" t="str">
        <f t="array" ref="D163">INDEX('Synergy import (8232022)'!A$1:L$229,MATCH(C163,'Synergy import (8232022)'!D$1:D$229,0),8)</f>
        <v>Shorts, Lisa N.</v>
      </c>
      <c r="E163" s="34" t="str">
        <f t="array" ref="E163">INDEX('Synergy import (8232022)'!A$1:L$229,MATCH(C163,'Synergy import (8232022)'!D$1:D$229,0),7)</f>
        <v>Lisa_N_Shorts@mcpsmd.org</v>
      </c>
      <c r="F163" s="60" t="s">
        <v>662</v>
      </c>
      <c r="G163" s="44" t="s">
        <v>663</v>
      </c>
      <c r="H163" s="36" t="s">
        <v>244</v>
      </c>
      <c r="I163" s="37" t="s">
        <v>246</v>
      </c>
      <c r="J163" s="39"/>
      <c r="K163" s="46"/>
      <c r="L163" s="10"/>
      <c r="M163" s="39"/>
      <c r="N163" s="49"/>
    </row>
    <row r="164" spans="1:14" ht="12.75">
      <c r="A164" s="33" t="s">
        <v>429</v>
      </c>
      <c r="B164" s="33" t="s">
        <v>582</v>
      </c>
      <c r="C164" s="50">
        <v>561</v>
      </c>
      <c r="D164" s="34" t="str">
        <f t="array" ref="D164">INDEX('Synergy import (8232022)'!A$1:L$229,MATCH(C164,'Synergy import (8232022)'!D$1:D$229,0),8)</f>
        <v>Simon, Brooke L.</v>
      </c>
      <c r="E164" s="34" t="str">
        <f t="array" ref="E164">INDEX('Synergy import (8232022)'!A$1:L$229,MATCH(C164,'Synergy import (8232022)'!D$1:D$229,0),7)</f>
        <v>Brooke_L_Simon@mcpsmd.org</v>
      </c>
      <c r="F164" s="51" t="s">
        <v>649</v>
      </c>
      <c r="G164" s="44" t="s">
        <v>548</v>
      </c>
      <c r="H164" s="36" t="s">
        <v>433</v>
      </c>
      <c r="I164" s="37" t="s">
        <v>394</v>
      </c>
      <c r="J164" s="59"/>
      <c r="K164" s="46"/>
      <c r="L164" s="49" t="s">
        <v>721</v>
      </c>
      <c r="M164" s="38" t="s">
        <v>722</v>
      </c>
      <c r="N164" s="49"/>
    </row>
    <row r="165" spans="1:14" ht="12.75">
      <c r="A165" s="33" t="s">
        <v>101</v>
      </c>
      <c r="B165" s="33" t="s">
        <v>102</v>
      </c>
      <c r="C165" s="50">
        <v>321</v>
      </c>
      <c r="D165" s="34" t="str">
        <f t="array" ref="D165">INDEX('Synergy import (8232022)'!A$1:L$229,MATCH(C165,'Synergy import (8232022)'!D$1:D$229,0),8)</f>
        <v>Sinclair Jr, Robert</v>
      </c>
      <c r="E165" s="34" t="str">
        <f t="array" ref="E165">INDEX('Synergy import (8232022)'!A$1:L$229,MATCH(C165,'Synergy import (8232022)'!D$1:D$229,0),7)</f>
        <v>Robert_Sinclair@mcpsmd.org</v>
      </c>
      <c r="F165" s="56" t="s">
        <v>340</v>
      </c>
      <c r="G165" s="44" t="s">
        <v>103</v>
      </c>
      <c r="H165" s="36" t="s">
        <v>105</v>
      </c>
      <c r="I165" s="37" t="s">
        <v>107</v>
      </c>
      <c r="J165" s="39"/>
      <c r="K165" s="46"/>
      <c r="L165" s="10"/>
      <c r="M165" s="39"/>
      <c r="N165" s="49"/>
    </row>
    <row r="166" spans="1:14" ht="12.75">
      <c r="A166" s="33" t="s">
        <v>45</v>
      </c>
      <c r="B166" s="33" t="s">
        <v>616</v>
      </c>
      <c r="C166" s="34">
        <v>820</v>
      </c>
      <c r="D166" s="34" t="str">
        <f t="array" ref="D166">INDEX('Synergy import (8232022)'!A$1:L$229,MATCH(C166,'Synergy import (8232022)'!D$1:D$229,0),8)</f>
        <v>Slatcoff, Heidi L.</v>
      </c>
      <c r="E166" s="34" t="str">
        <f t="array" ref="E166">INDEX('Synergy import (8232022)'!A$1:L$229,MATCH(C166,'Synergy import (8232022)'!D$1:D$229,0),7)</f>
        <v>Heidi_L_Slatcoff@mcpsmd.org</v>
      </c>
      <c r="F166" s="60" t="s">
        <v>683</v>
      </c>
      <c r="G166" s="44" t="s">
        <v>514</v>
      </c>
      <c r="H166" s="36" t="s">
        <v>636</v>
      </c>
      <c r="I166" s="55"/>
      <c r="J166" s="39"/>
      <c r="K166" s="57"/>
      <c r="L166" s="49"/>
      <c r="M166" s="38"/>
      <c r="N166" s="49"/>
    </row>
    <row r="167" spans="1:14" ht="12.75" hidden="1">
      <c r="A167" s="33" t="s">
        <v>25</v>
      </c>
      <c r="B167" s="33" t="s">
        <v>453</v>
      </c>
      <c r="C167" s="50">
        <v>413</v>
      </c>
      <c r="D167" s="34" t="str">
        <f t="array" ref="D167">INDEX('Synergy import (8232022)'!A$1:L$229,MATCH(C167,'Synergy import (8232022)'!D$1:D$229,0),8)</f>
        <v>Smith, AnneMarie K.</v>
      </c>
      <c r="E167" s="34" t="str">
        <f t="array" ref="E167">INDEX('Synergy import (8232022)'!A$1:L$229,MATCH(C167,'Synergy import (8232022)'!D$1:D$229,0),7)</f>
        <v>Annemarie_E_Smith@mcpsmd.org</v>
      </c>
      <c r="F167" s="56" t="s">
        <v>638</v>
      </c>
      <c r="G167" s="52"/>
      <c r="H167" s="36" t="s">
        <v>314</v>
      </c>
      <c r="I167" s="55"/>
      <c r="J167" s="39"/>
      <c r="K167" s="46"/>
      <c r="L167" s="10"/>
      <c r="M167" s="38" t="s">
        <v>723</v>
      </c>
      <c r="N167" s="49"/>
    </row>
    <row r="168" spans="1:14" ht="12.75" hidden="1">
      <c r="A168" s="33" t="s">
        <v>74</v>
      </c>
      <c r="B168" s="33" t="s">
        <v>177</v>
      </c>
      <c r="C168" s="50">
        <v>403</v>
      </c>
      <c r="D168" s="34" t="str">
        <f t="array" ref="D168">INDEX('Synergy import (8232022)'!A$1:L$229,MATCH(C168,'Synergy import (8232022)'!D$1:D$229,0),8)</f>
        <v>Smith, Jody L.</v>
      </c>
      <c r="E168" s="34" t="str">
        <f t="array" ref="E168">INDEX('Synergy import (8232022)'!A$1:L$229,MATCH(C168,'Synergy import (8232022)'!D$1:D$229,0),7)</f>
        <v>Jody_L_Smith@mcpsmd.org</v>
      </c>
      <c r="F168" s="56" t="s">
        <v>644</v>
      </c>
      <c r="G168" s="52"/>
      <c r="H168" s="36" t="s">
        <v>640</v>
      </c>
      <c r="I168" s="55"/>
      <c r="J168" s="39"/>
      <c r="K168" s="57"/>
      <c r="L168" s="49"/>
      <c r="M168" s="38"/>
      <c r="N168" s="49"/>
    </row>
    <row r="169" spans="1:14" ht="12.75">
      <c r="A169" s="33" t="s">
        <v>195</v>
      </c>
      <c r="B169" s="33" t="s">
        <v>456</v>
      </c>
      <c r="C169" s="50">
        <v>246</v>
      </c>
      <c r="D169" s="34" t="str">
        <f t="array" ref="D169">INDEX('Synergy import (8232022)'!A$1:L$229,MATCH(C169,'Synergy import (8232022)'!D$1:D$229,0),8)</f>
        <v>Smith, Scott E.</v>
      </c>
      <c r="E169" s="34" t="str">
        <f t="array" ref="E169">INDEX('Synergy import (8232022)'!A$1:L$229,MATCH(C169,'Synergy import (8232022)'!D$1:D$229,0),7)</f>
        <v>Scott_E_Smith@mcpsmd.org</v>
      </c>
      <c r="F169" s="51" t="s">
        <v>457</v>
      </c>
      <c r="G169" s="44" t="s">
        <v>336</v>
      </c>
      <c r="H169" s="36" t="s">
        <v>206</v>
      </c>
      <c r="I169" s="55"/>
      <c r="J169" s="39"/>
      <c r="K169" s="46"/>
      <c r="L169" s="49" t="s">
        <v>533</v>
      </c>
      <c r="M169" s="38" t="s">
        <v>724</v>
      </c>
      <c r="N169" s="49"/>
    </row>
    <row r="170" spans="1:14" ht="12.75" hidden="1">
      <c r="A170" s="33" t="s">
        <v>65</v>
      </c>
      <c r="B170" s="33" t="s">
        <v>66</v>
      </c>
      <c r="C170" s="50">
        <v>607</v>
      </c>
      <c r="D170" s="34" t="str">
        <f t="array" ref="D170">INDEX('Synergy import (8232022)'!A$1:L$229,MATCH(C170,'Synergy import (8232022)'!D$1:D$229,0),8)</f>
        <v>Smith, Stacy L.</v>
      </c>
      <c r="E170" s="34" t="str">
        <f t="array" ref="E170">INDEX('Synergy import (8232022)'!A$1:L$229,MATCH(C170,'Synergy import (8232022)'!D$1:D$229,0),7)</f>
        <v>Stacy_L_Smith@mcpsmd.org</v>
      </c>
      <c r="F170" s="51" t="s">
        <v>638</v>
      </c>
      <c r="G170" s="52"/>
      <c r="H170" s="36" t="s">
        <v>67</v>
      </c>
      <c r="I170" s="55"/>
      <c r="J170" s="39"/>
      <c r="K170" s="46"/>
      <c r="L170" s="10"/>
      <c r="M170" s="39"/>
      <c r="N170" s="49"/>
    </row>
    <row r="171" spans="1:14" ht="12.75" hidden="1">
      <c r="A171" s="33" t="s">
        <v>65</v>
      </c>
      <c r="B171" s="33" t="s">
        <v>153</v>
      </c>
      <c r="C171" s="50">
        <v>606</v>
      </c>
      <c r="D171" s="34" t="str">
        <f t="array" ref="D171">INDEX('Synergy import (8232022)'!A$1:L$229,MATCH(C171,'Synergy import (8232022)'!D$1:D$229,0),8)</f>
        <v>Snider, Somer</v>
      </c>
      <c r="E171" s="34" t="str">
        <f t="array" ref="E171">INDEX('Synergy import (8232022)'!A$1:L$229,MATCH(C171,'Synergy import (8232022)'!D$1:D$229,0),7)</f>
        <v>Somer_Snider@mcpsmd.org</v>
      </c>
      <c r="F171" s="51" t="s">
        <v>649</v>
      </c>
      <c r="G171" s="52"/>
      <c r="H171" s="36" t="s">
        <v>67</v>
      </c>
      <c r="I171" s="55"/>
      <c r="J171" s="39"/>
      <c r="K171" s="46"/>
      <c r="L171" s="10"/>
      <c r="M171" s="38" t="s">
        <v>725</v>
      </c>
      <c r="N171" s="49"/>
    </row>
    <row r="172" spans="1:14" ht="12.75" hidden="1">
      <c r="A172" s="33" t="s">
        <v>195</v>
      </c>
      <c r="B172" s="33" t="s">
        <v>402</v>
      </c>
      <c r="C172" s="34">
        <v>951</v>
      </c>
      <c r="D172" s="34" t="str">
        <f t="array" ref="D172">INDEX('Synergy import (8232022)'!A$1:L$229,MATCH(C172,'Synergy import (8232022)'!D$1:D$229,0),8)</f>
        <v>Starr, Sarah C.</v>
      </c>
      <c r="E172" s="34" t="str">
        <f t="array" ref="E172">INDEX('Synergy import (8232022)'!A$1:L$229,MATCH(C172,'Synergy import (8232022)'!D$1:D$229,0),7)</f>
        <v>Sarah_C_Starr@mcpsmd.org</v>
      </c>
      <c r="F172" s="43" t="s">
        <v>457</v>
      </c>
      <c r="G172" s="52"/>
      <c r="H172" s="36" t="s">
        <v>200</v>
      </c>
      <c r="I172" s="55"/>
      <c r="J172" s="39"/>
      <c r="K172" s="46"/>
      <c r="L172" s="10"/>
      <c r="M172" s="38" t="s">
        <v>726</v>
      </c>
      <c r="N172" s="49"/>
    </row>
    <row r="173" spans="1:14" ht="38.25">
      <c r="A173" s="33" t="s">
        <v>52</v>
      </c>
      <c r="B173" s="33" t="s">
        <v>740</v>
      </c>
      <c r="C173" s="50">
        <v>211</v>
      </c>
      <c r="D173" s="34" t="str">
        <f t="array" ref="D173">INDEX('Synergy import (8232022)'!A$1:L$229,MATCH(C173,'Synergy import (8232022)'!D$1:D$229,0),8)</f>
        <v>Staton, Craig W.</v>
      </c>
      <c r="E173" s="34" t="str">
        <f t="array" ref="E173">INDEX('Synergy import (8232022)'!A$1:L$229,MATCH(C173,'Synergy import (8232022)'!D$1:D$229,0),7)</f>
        <v>Craig_Staton@mcpsmd.org</v>
      </c>
      <c r="F173" s="51" t="s">
        <v>741</v>
      </c>
      <c r="G173" s="44" t="s">
        <v>438</v>
      </c>
      <c r="H173" s="36" t="s">
        <v>636</v>
      </c>
      <c r="I173" s="37" t="s">
        <v>444</v>
      </c>
      <c r="J173" s="39"/>
      <c r="K173" s="57"/>
      <c r="L173" s="49"/>
      <c r="M173" s="38"/>
      <c r="N173" s="49"/>
    </row>
    <row r="174" spans="1:14" ht="12.75">
      <c r="A174" s="33" t="s">
        <v>247</v>
      </c>
      <c r="B174" s="33" t="s">
        <v>347</v>
      </c>
      <c r="C174" s="50">
        <v>774</v>
      </c>
      <c r="D174" s="34" t="str">
        <f t="array" ref="D174">INDEX('Synergy import (8232022)'!A$1:L$229,MATCH(C174,'Synergy import (8232022)'!D$1:D$229,0),8)</f>
        <v>Steffan, Scott R.</v>
      </c>
      <c r="E174" s="34" t="str">
        <f t="array" ref="E174">INDEX('Synergy import (8232022)'!A$1:L$229,MATCH(C174,'Synergy import (8232022)'!D$1:D$229,0),7)</f>
        <v>Scott_Steffan@mcpsmd.org</v>
      </c>
      <c r="F174" s="56" t="s">
        <v>680</v>
      </c>
      <c r="G174" s="44" t="s">
        <v>348</v>
      </c>
      <c r="H174" s="36" t="s">
        <v>350</v>
      </c>
      <c r="I174" s="55"/>
      <c r="J174" s="39"/>
      <c r="K174" s="46"/>
      <c r="L174" s="10"/>
      <c r="M174" s="39"/>
      <c r="N174" s="49"/>
    </row>
    <row r="175" spans="1:14" ht="12.75">
      <c r="A175" s="33" t="s">
        <v>247</v>
      </c>
      <c r="B175" s="33" t="s">
        <v>325</v>
      </c>
      <c r="C175" s="50">
        <v>767</v>
      </c>
      <c r="D175" s="34" t="str">
        <f t="array" ref="D175">INDEX('Synergy import (8232022)'!A$1:L$229,MATCH(C175,'Synergy import (8232022)'!D$1:D$229,0),8)</f>
        <v>Strain, Tara M.</v>
      </c>
      <c r="E175" s="34" t="str">
        <f t="array" ref="E175">INDEX('Synergy import (8232022)'!A$1:L$229,MATCH(C175,'Synergy import (8232022)'!D$1:D$229,0),7)</f>
        <v>Tara_M_Strain@mcpsmd.org</v>
      </c>
      <c r="F175" s="56" t="s">
        <v>680</v>
      </c>
      <c r="G175" s="44" t="s">
        <v>317</v>
      </c>
      <c r="H175" s="36" t="s">
        <v>21</v>
      </c>
      <c r="I175" s="55"/>
      <c r="J175" s="39"/>
      <c r="K175" s="46"/>
      <c r="L175" s="10"/>
      <c r="M175" s="38" t="s">
        <v>729</v>
      </c>
      <c r="N175" s="49"/>
    </row>
    <row r="176" spans="1:14" ht="12.75">
      <c r="A176" s="33" t="s">
        <v>291</v>
      </c>
      <c r="B176" s="33" t="s">
        <v>299</v>
      </c>
      <c r="C176" s="50">
        <v>553</v>
      </c>
      <c r="D176" s="34" t="str">
        <f t="array" ref="D176">INDEX('Synergy import (8232022)'!A$1:L$229,MATCH(C176,'Synergy import (8232022)'!D$1:D$229,0),8)</f>
        <v>Summers, Paula G.</v>
      </c>
      <c r="E176" s="34" t="str">
        <f t="array" ref="E176">INDEX('Synergy import (8232022)'!A$1:L$229,MATCH(C176,'Synergy import (8232022)'!D$1:D$229,0),7)</f>
        <v>Paula_G_Summers@mcpsmd.org</v>
      </c>
      <c r="F176" s="56" t="s">
        <v>573</v>
      </c>
      <c r="G176" s="44" t="s">
        <v>300</v>
      </c>
      <c r="H176" s="36" t="s">
        <v>97</v>
      </c>
      <c r="I176" s="37" t="s">
        <v>755</v>
      </c>
      <c r="J176" s="39"/>
      <c r="K176" s="46"/>
      <c r="L176" s="10"/>
      <c r="M176" s="39"/>
      <c r="N176" s="49"/>
    </row>
    <row r="177" spans="1:14" ht="12.75" hidden="1">
      <c r="A177" s="33" t="s">
        <v>195</v>
      </c>
      <c r="B177" s="33" t="s">
        <v>412</v>
      </c>
      <c r="C177" s="34">
        <v>523</v>
      </c>
      <c r="D177" s="34" t="str">
        <f t="array" ref="D177">INDEX('Synergy import (8232022)'!A$1:L$229,MATCH(C177,'Synergy import (8232022)'!D$1:D$229,0),8)</f>
        <v>Sweeney, James A.</v>
      </c>
      <c r="E177" s="34" t="str">
        <f t="array" ref="E177">INDEX('Synergy import (8232022)'!A$1:L$229,MATCH(C177,'Synergy import (8232022)'!D$1:D$229,0),7)</f>
        <v>Jimmy_Sweeney@mcpsmd.org</v>
      </c>
      <c r="F177" s="43" t="s">
        <v>696</v>
      </c>
      <c r="G177" s="52"/>
      <c r="H177" s="36" t="s">
        <v>200</v>
      </c>
      <c r="I177" s="55"/>
      <c r="J177" s="39"/>
      <c r="K177" s="46"/>
      <c r="L177" s="10"/>
      <c r="M177" s="39"/>
      <c r="N177" s="49"/>
    </row>
    <row r="178" spans="1:14" ht="12.75" hidden="1">
      <c r="A178" s="33" t="s">
        <v>65</v>
      </c>
      <c r="B178" s="33" t="s">
        <v>86</v>
      </c>
      <c r="C178" s="50">
        <v>226</v>
      </c>
      <c r="D178" s="34" t="str">
        <f t="array" ref="D178">INDEX('Synergy import (8232022)'!A$1:L$229,MATCH(C178,'Synergy import (8232022)'!D$1:D$229,0),8)</f>
        <v>Swerdzewski, Laura M.</v>
      </c>
      <c r="E178" s="34" t="str">
        <f t="array" ref="E178">INDEX('Synergy import (8232022)'!A$1:L$229,MATCH(C178,'Synergy import (8232022)'!D$1:D$229,0),7)</f>
        <v>Laura_M_Swerdzewski@mcpsmd.org</v>
      </c>
      <c r="F178" s="51" t="s">
        <v>85</v>
      </c>
      <c r="G178" s="52"/>
      <c r="H178" s="36" t="s">
        <v>87</v>
      </c>
      <c r="I178" s="55"/>
      <c r="J178" s="39"/>
      <c r="K178" s="46"/>
      <c r="L178" s="10"/>
      <c r="M178" s="39"/>
      <c r="N178" s="49"/>
    </row>
    <row r="179" spans="1:14" ht="12.75" hidden="1">
      <c r="A179" s="33" t="s">
        <v>69</v>
      </c>
      <c r="B179" s="33" t="s">
        <v>116</v>
      </c>
      <c r="C179" s="50">
        <v>518</v>
      </c>
      <c r="D179" s="34" t="str">
        <f t="array" ref="D179">INDEX('Synergy import (8232022)'!A$1:L$229,MATCH(C179,'Synergy import (8232022)'!D$1:D$229,0),8)</f>
        <v>Tarwater, Jolynn E.</v>
      </c>
      <c r="E179" s="34" t="str">
        <f t="array" ref="E179">INDEX('Synergy import (8232022)'!A$1:L$229,MATCH(C179,'Synergy import (8232022)'!D$1:D$229,0),7)</f>
        <v>Jolynn_E_Tarwater@mcpsmd.org</v>
      </c>
      <c r="F179" s="51" t="s">
        <v>117</v>
      </c>
      <c r="G179" s="52"/>
      <c r="H179" s="36" t="s">
        <v>120</v>
      </c>
      <c r="I179" s="55"/>
      <c r="J179" s="39"/>
      <c r="K179" s="46"/>
      <c r="L179" s="49" t="s">
        <v>730</v>
      </c>
      <c r="M179" s="38" t="s">
        <v>731</v>
      </c>
      <c r="N179" s="49"/>
    </row>
    <row r="180" spans="1:14" ht="12.75">
      <c r="A180" s="33" t="s">
        <v>284</v>
      </c>
      <c r="B180" s="33" t="s">
        <v>285</v>
      </c>
      <c r="C180" s="34">
        <v>803</v>
      </c>
      <c r="D180" s="34" t="str">
        <f t="array" ref="D180">INDEX('Synergy import (8232022)'!A$1:L$229,MATCH(C180,'Synergy import (8232022)'!D$1:D$229,0),8)</f>
        <v>Taylor-Cox, Jennifer</v>
      </c>
      <c r="E180" s="34" t="str">
        <f t="array" ref="E180">INDEX('Synergy import (8232022)'!A$1:L$229,MATCH(C180,'Synergy import (8232022)'!D$1:D$229,0),7)</f>
        <v>Jennifer_Taylor-Cox@mcpsmd.org</v>
      </c>
      <c r="F180" s="60" t="s">
        <v>286</v>
      </c>
      <c r="G180" s="44" t="s">
        <v>287</v>
      </c>
      <c r="H180" s="36" t="s">
        <v>289</v>
      </c>
      <c r="I180" s="55"/>
      <c r="J180" s="59"/>
      <c r="K180" s="57"/>
      <c r="L180" s="49"/>
      <c r="M180" s="38"/>
      <c r="N180" s="49"/>
    </row>
    <row r="181" spans="1:14" ht="12.75" hidden="1">
      <c r="A181" s="33" t="s">
        <v>65</v>
      </c>
      <c r="B181" s="33" t="s">
        <v>178</v>
      </c>
      <c r="C181" s="50">
        <v>602</v>
      </c>
      <c r="D181" s="34" t="str">
        <f t="array" ref="D181">INDEX('Synergy import (8232022)'!A$1:L$229,MATCH(C181,'Synergy import (8232022)'!D$1:D$229,0),8)</f>
        <v>Taylor, John W.</v>
      </c>
      <c r="E181" s="34" t="str">
        <f t="array" ref="E181">INDEX('Synergy import (8232022)'!A$1:L$229,MATCH(C181,'Synergy import (8232022)'!D$1:D$229,0),7)</f>
        <v>John_Taylor@mcpsmd.org</v>
      </c>
      <c r="F181" s="51" t="s">
        <v>179</v>
      </c>
      <c r="G181" s="52"/>
      <c r="H181" s="36" t="s">
        <v>180</v>
      </c>
      <c r="I181" s="55"/>
      <c r="J181" s="39"/>
      <c r="K181" s="46"/>
      <c r="L181" s="10"/>
      <c r="M181" s="39"/>
      <c r="N181" s="49"/>
    </row>
    <row r="182" spans="1:14" ht="12.75">
      <c r="A182" s="33" t="s">
        <v>129</v>
      </c>
      <c r="B182" s="33" t="s">
        <v>489</v>
      </c>
      <c r="C182" s="50">
        <v>125</v>
      </c>
      <c r="D182" s="34" t="str">
        <f t="array" ref="D182">INDEX('Synergy import (8232022)'!A$1:L$229,MATCH(C182,'Synergy import (8232022)'!D$1:D$229,0),8)</f>
        <v>Thomas, Elizabeth L.</v>
      </c>
      <c r="E182" s="34" t="str">
        <f t="array" ref="E182">INDEX('Synergy import (8232022)'!A$1:L$229,MATCH(C182,'Synergy import (8232022)'!D$1:D$229,0),7)</f>
        <v>Elizabeth_L_Thomas@mcpsmd.org</v>
      </c>
      <c r="F182" s="56" t="s">
        <v>668</v>
      </c>
      <c r="G182" s="44" t="s">
        <v>490</v>
      </c>
      <c r="H182" s="36" t="s">
        <v>133</v>
      </c>
      <c r="I182" s="55"/>
      <c r="J182" s="38" t="s">
        <v>492</v>
      </c>
      <c r="K182" s="46"/>
      <c r="L182" s="10"/>
      <c r="M182" s="39"/>
      <c r="N182" s="49"/>
    </row>
    <row r="183" spans="1:14" ht="25.5">
      <c r="A183" s="33" t="s">
        <v>154</v>
      </c>
      <c r="B183" s="33" t="s">
        <v>498</v>
      </c>
      <c r="C183" s="50">
        <v>514</v>
      </c>
      <c r="D183" s="34" t="str">
        <f t="array" ref="D183">INDEX('Synergy import (8232022)'!A$1:L$229,MATCH(C183,'Synergy import (8232022)'!D$1:D$229,0),8)</f>
        <v>Thomas, LaTricia D.</v>
      </c>
      <c r="E183" s="34" t="str">
        <f t="array" ref="E183">INDEX('Synergy import (8232022)'!A$1:L$229,MATCH(C183,'Synergy import (8232022)'!D$1:D$229,0),7)</f>
        <v>Latricia_D_Thomas@mcpsmd.org</v>
      </c>
      <c r="F183" s="56" t="s">
        <v>275</v>
      </c>
      <c r="G183" s="44" t="s">
        <v>276</v>
      </c>
      <c r="H183" s="36" t="s">
        <v>171</v>
      </c>
      <c r="I183" s="55"/>
      <c r="J183" s="39"/>
      <c r="K183" s="57"/>
      <c r="L183" s="49"/>
      <c r="M183" s="38"/>
      <c r="N183" s="49"/>
    </row>
    <row r="184" spans="1:14" ht="12.75">
      <c r="A184" s="33" t="s">
        <v>45</v>
      </c>
      <c r="B184" s="33" t="s">
        <v>46</v>
      </c>
      <c r="C184" s="34">
        <v>505</v>
      </c>
      <c r="D184" s="34" t="str">
        <f t="array" ref="D184">INDEX('Synergy import (8232022)'!A$1:L$229,MATCH(C184,'Synergy import (8232022)'!D$1:D$229,0),8)</f>
        <v>Troffkin, Christine L.</v>
      </c>
      <c r="E184" s="34" t="str">
        <f t="array" ref="E184">INDEX('Synergy import (8232022)'!A$1:L$229,MATCH(C184,'Synergy import (8232022)'!D$1:D$229,0),7)</f>
        <v>Christine_L_Troffkin@mcpsmd.org</v>
      </c>
      <c r="F184" s="43" t="s">
        <v>635</v>
      </c>
      <c r="G184" s="44" t="s">
        <v>48</v>
      </c>
      <c r="H184" s="36" t="s">
        <v>50</v>
      </c>
      <c r="I184" s="55"/>
      <c r="J184" s="59"/>
      <c r="K184" s="46"/>
      <c r="L184" s="10"/>
      <c r="M184" s="39"/>
      <c r="N184" s="49"/>
    </row>
    <row r="185" spans="1:14" ht="12.75" hidden="1">
      <c r="A185" s="33" t="s">
        <v>25</v>
      </c>
      <c r="B185" s="33" t="s">
        <v>313</v>
      </c>
      <c r="C185" s="50">
        <v>204</v>
      </c>
      <c r="D185" s="34" t="str">
        <f t="array" ref="D185">INDEX('Synergy import (8232022)'!A$1:L$229,MATCH(C185,'Synergy import (8232022)'!D$1:D$229,0),8)</f>
        <v>Tucci, Daniel K.</v>
      </c>
      <c r="E185" s="34" t="str">
        <f t="array" ref="E185">INDEX('Synergy import (8232022)'!A$1:L$229,MATCH(C185,'Synergy import (8232022)'!D$1:D$229,0),7)</f>
        <v>Daniel_K_Tucci@mcpsmd.org</v>
      </c>
      <c r="F185" s="51" t="s">
        <v>266</v>
      </c>
      <c r="G185" s="52"/>
      <c r="H185" s="36" t="s">
        <v>314</v>
      </c>
      <c r="I185" s="55"/>
      <c r="J185" s="39"/>
      <c r="K185" s="46"/>
      <c r="L185" s="10"/>
      <c r="M185" s="39"/>
      <c r="N185" s="49"/>
    </row>
    <row r="186" spans="1:14" ht="12.75" hidden="1">
      <c r="A186" s="33" t="s">
        <v>25</v>
      </c>
      <c r="B186" s="33" t="s">
        <v>403</v>
      </c>
      <c r="C186" s="50">
        <v>220</v>
      </c>
      <c r="D186" s="34" t="str">
        <f t="array" ref="D186">INDEX('Synergy import (8232022)'!A$1:L$229,MATCH(C186,'Synergy import (8232022)'!D$1:D$229,0),8)</f>
        <v>Turner, Maureen C.</v>
      </c>
      <c r="E186" s="34" t="str">
        <f t="array" ref="E186">INDEX('Synergy import (8232022)'!A$1:L$229,MATCH(C186,'Synergy import (8232022)'!D$1:D$229,0),7)</f>
        <v>Maureen_C_Turner@mcpsmd.org</v>
      </c>
      <c r="F186" s="56" t="s">
        <v>163</v>
      </c>
      <c r="G186" s="52"/>
      <c r="H186" s="53" t="s">
        <v>27</v>
      </c>
      <c r="I186" s="55"/>
      <c r="J186" s="39"/>
      <c r="K186" s="46"/>
      <c r="L186" s="10"/>
      <c r="M186" s="39"/>
      <c r="N186" s="49"/>
    </row>
    <row r="187" spans="1:14" ht="12.75">
      <c r="A187" s="33" t="s">
        <v>139</v>
      </c>
      <c r="B187" s="33" t="s">
        <v>549</v>
      </c>
      <c r="C187" s="34">
        <v>798</v>
      </c>
      <c r="D187" s="34" t="str">
        <f t="array" ref="D187">INDEX('Synergy import (8232022)'!A$1:L$229,MATCH(C187,'Synergy import (8232022)'!D$1:D$229,0),8)</f>
        <v>Valentine, Stephanie P.</v>
      </c>
      <c r="E187" s="34" t="str">
        <f t="array" ref="E187">INDEX('Synergy import (8232022)'!A$1:L$229,MATCH(C187,'Synergy import (8232022)'!D$1:D$229,0),7)</f>
        <v>Stephanie_Z_Valentine@mcpsmd.org</v>
      </c>
      <c r="F187" s="60" t="s">
        <v>550</v>
      </c>
      <c r="G187" s="44" t="s">
        <v>358</v>
      </c>
      <c r="H187" s="36" t="s">
        <v>363</v>
      </c>
      <c r="I187" s="55"/>
      <c r="J187" s="38" t="s">
        <v>551</v>
      </c>
      <c r="K187" s="46"/>
      <c r="L187" s="10"/>
      <c r="M187" s="39"/>
      <c r="N187" s="49"/>
    </row>
    <row r="188" spans="1:14" ht="12.75">
      <c r="A188" s="33" t="s">
        <v>139</v>
      </c>
      <c r="B188" s="33" t="s">
        <v>357</v>
      </c>
      <c r="C188" s="34">
        <v>305</v>
      </c>
      <c r="D188" s="34" t="str">
        <f t="array" ref="D188">INDEX('Synergy import (8232022)'!A$1:L$229,MATCH(C188,'Synergy import (8232022)'!D$1:D$229,0),8)</f>
        <v>Velasquez, Rosario</v>
      </c>
      <c r="E188" s="34" t="str">
        <f t="array" ref="E188">INDEX('Synergy import (8232022)'!A$1:L$229,MATCH(C188,'Synergy import (8232022)'!D$1:D$229,0),7)</f>
        <v>Rosario_Velasquez@mcpsmd.org</v>
      </c>
      <c r="F188" s="60" t="s">
        <v>683</v>
      </c>
      <c r="G188" s="44" t="s">
        <v>358</v>
      </c>
      <c r="H188" s="36" t="s">
        <v>142</v>
      </c>
      <c r="I188" s="55"/>
      <c r="J188" s="39"/>
      <c r="K188" s="46"/>
      <c r="L188" s="10"/>
      <c r="M188" s="38" t="s">
        <v>732</v>
      </c>
      <c r="N188" s="49"/>
    </row>
    <row r="189" spans="1:14" ht="25.5" hidden="1">
      <c r="A189" s="33" t="s">
        <v>211</v>
      </c>
      <c r="B189" s="33" t="s">
        <v>572</v>
      </c>
      <c r="C189" s="50">
        <v>216</v>
      </c>
      <c r="D189" s="34" t="str">
        <f t="array" ref="D189">INDEX('Synergy import (8232022)'!A$1:L$229,MATCH(C189,'Synergy import (8232022)'!D$1:D$229,0),8)</f>
        <v>Wade, Karin M.</v>
      </c>
      <c r="E189" s="34" t="str">
        <f t="array" ref="E189">INDEX('Synergy import (8232022)'!A$1:L$229,MATCH(C189,'Synergy import (8232022)'!D$1:D$229,0),7)</f>
        <v>Karin_M_Wade@mcpsmd.org</v>
      </c>
      <c r="F189" s="56" t="s">
        <v>573</v>
      </c>
      <c r="G189" s="52"/>
      <c r="H189" s="36" t="s">
        <v>657</v>
      </c>
      <c r="I189" s="55"/>
      <c r="J189" s="39"/>
      <c r="K189" s="46"/>
      <c r="L189" s="49" t="s">
        <v>570</v>
      </c>
      <c r="M189" s="38" t="s">
        <v>733</v>
      </c>
      <c r="N189" s="49"/>
    </row>
    <row r="190" spans="1:14" ht="12.75" hidden="1">
      <c r="A190" s="33" t="s">
        <v>195</v>
      </c>
      <c r="B190" s="33" t="s">
        <v>232</v>
      </c>
      <c r="C190" s="34">
        <v>570</v>
      </c>
      <c r="D190" s="34" t="str">
        <f t="array" ref="D190">INDEX('Synergy import (8232022)'!A$1:L$229,MATCH(C190,'Synergy import (8232022)'!D$1:D$229,0),8)</f>
        <v>Walder, Daniel</v>
      </c>
      <c r="E190" s="34" t="str">
        <f t="array" ref="E190">INDEX('Synergy import (8232022)'!A$1:L$229,MATCH(C190,'Synergy import (8232022)'!D$1:D$229,0),7)</f>
        <v>Daniel_Walder@mcpsmd.org</v>
      </c>
      <c r="F190" s="43" t="s">
        <v>390</v>
      </c>
      <c r="G190" s="52"/>
      <c r="H190" s="36" t="s">
        <v>167</v>
      </c>
      <c r="I190" s="55"/>
      <c r="J190" s="39"/>
      <c r="K190" s="46"/>
      <c r="L190" s="10"/>
      <c r="M190" s="38" t="s">
        <v>734</v>
      </c>
      <c r="N190" s="49"/>
    </row>
    <row r="191" spans="1:14" ht="12.75">
      <c r="A191" s="33" t="s">
        <v>74</v>
      </c>
      <c r="B191" s="33" t="s">
        <v>454</v>
      </c>
      <c r="C191" s="50">
        <v>415</v>
      </c>
      <c r="D191" s="34" t="str">
        <f t="array" ref="D191">INDEX('Synergy import (8232022)'!A$1:L$229,MATCH(C191,'Synergy import (8232022)'!D$1:D$229,0),8)</f>
        <v>Wallace-Kimbrue, Renee D.</v>
      </c>
      <c r="E191" s="34" t="str">
        <f t="array" ref="E191">INDEX('Synergy import (8232022)'!A$1:L$229,MATCH(C191,'Synergy import (8232022)'!D$1:D$229,0),7)</f>
        <v>Renee_D_Wallace-Kimbrue@mcpsmd.org</v>
      </c>
      <c r="F191" s="56" t="s">
        <v>455</v>
      </c>
      <c r="G191" s="44" t="s">
        <v>48</v>
      </c>
      <c r="H191" s="36" t="s">
        <v>640</v>
      </c>
      <c r="I191" s="55"/>
      <c r="J191" s="39"/>
      <c r="K191" s="57"/>
      <c r="L191" s="49"/>
      <c r="M191" s="38"/>
      <c r="N191" s="49"/>
    </row>
    <row r="192" spans="1:14" ht="12.75" hidden="1">
      <c r="A192" s="33" t="s">
        <v>25</v>
      </c>
      <c r="B192" s="33" t="s">
        <v>622</v>
      </c>
      <c r="C192" s="50">
        <v>422</v>
      </c>
      <c r="D192" s="34" t="str">
        <f t="array" ref="D192">INDEX('Synergy import (8232022)'!A$1:L$229,MATCH(C192,'Synergy import (8232022)'!D$1:D$229,0),8)</f>
        <v>Wallen, Nichola A.</v>
      </c>
      <c r="E192" s="34" t="str">
        <f t="array" ref="E192">INDEX('Synergy import (8232022)'!A$1:L$229,MATCH(C192,'Synergy import (8232022)'!D$1:D$229,0),7)</f>
        <v>Nichola_A_Wallen@mcpsmd.org</v>
      </c>
      <c r="F192" s="56" t="s">
        <v>163</v>
      </c>
      <c r="G192" s="52"/>
      <c r="H192" s="53" t="s">
        <v>27</v>
      </c>
      <c r="I192" s="69"/>
      <c r="J192" s="39"/>
      <c r="K192" s="46"/>
      <c r="L192" s="10"/>
      <c r="M192" s="39"/>
      <c r="N192" s="49"/>
    </row>
    <row r="193" spans="1:14" ht="12.75" hidden="1">
      <c r="A193" s="33" t="s">
        <v>154</v>
      </c>
      <c r="B193" s="33" t="s">
        <v>155</v>
      </c>
      <c r="C193" s="50">
        <v>508</v>
      </c>
      <c r="D193" s="34" t="str">
        <f t="array" ref="D193">INDEX('Synergy import (8232022)'!A$1:L$229,MATCH(C193,'Synergy import (8232022)'!D$1:D$229,0),8)</f>
        <v>Walsleben, Carolynn</v>
      </c>
      <c r="E193" s="34" t="str">
        <f t="array" ref="E193">INDEX('Synergy import (8232022)'!A$1:L$229,MATCH(C193,'Synergy import (8232022)'!D$1:D$229,0),7)</f>
        <v>Carolynn_Walsleben@mcpsmd.org</v>
      </c>
      <c r="F193" s="51" t="s">
        <v>156</v>
      </c>
      <c r="G193" s="52"/>
      <c r="H193" s="36" t="s">
        <v>157</v>
      </c>
      <c r="I193" s="55"/>
      <c r="J193" s="39"/>
      <c r="K193" s="46"/>
      <c r="L193" s="10"/>
      <c r="M193" s="39"/>
      <c r="N193" s="49"/>
    </row>
    <row r="194" spans="1:14" ht="12.75">
      <c r="A194" s="33" t="s">
        <v>291</v>
      </c>
      <c r="B194" s="33" t="s">
        <v>396</v>
      </c>
      <c r="C194" s="50">
        <v>51</v>
      </c>
      <c r="D194" s="34" t="str">
        <f t="array" ref="D194">INDEX('Synergy import (8232022)'!A$1:L$229,MATCH(C194,'Synergy import (8232022)'!D$1:D$229,0),8)</f>
        <v>Watson, Maria D.</v>
      </c>
      <c r="E194" s="34" t="str">
        <f t="array" ref="E194">INDEX('Synergy import (8232022)'!A$1:L$229,MATCH(C194,'Synergy import (8232022)'!D$1:D$229,0),7)</f>
        <v>Maria_D_Watson@mcpsmd.org</v>
      </c>
      <c r="F194" s="51" t="s">
        <v>117</v>
      </c>
      <c r="G194" s="44" t="s">
        <v>393</v>
      </c>
      <c r="H194" s="36" t="s">
        <v>72</v>
      </c>
      <c r="I194" s="55"/>
      <c r="J194" s="39"/>
      <c r="K194" s="46"/>
      <c r="L194" s="10"/>
      <c r="M194" s="39"/>
      <c r="N194" s="49"/>
    </row>
    <row r="195" spans="1:14" ht="12.75">
      <c r="A195" s="33" t="s">
        <v>52</v>
      </c>
      <c r="B195" s="33" t="s">
        <v>53</v>
      </c>
      <c r="C195" s="50">
        <v>346</v>
      </c>
      <c r="D195" s="34" t="str">
        <f t="array" ref="D195">INDEX('Synergy import (8232022)'!A$1:L$229,MATCH(C195,'Synergy import (8232022)'!D$1:D$229,0),8)</f>
        <v>West, Kathryn C.</v>
      </c>
      <c r="E195" s="34" t="str">
        <f t="array" ref="E195">INDEX('Synergy import (8232022)'!A$1:L$229,MATCH(C195,'Synergy import (8232022)'!D$1:D$229,0),7)</f>
        <v>Kathryn_C_West@mcpsmd.org</v>
      </c>
      <c r="F195" s="51" t="s">
        <v>409</v>
      </c>
      <c r="G195" s="44" t="s">
        <v>54</v>
      </c>
      <c r="H195" s="36" t="s">
        <v>636</v>
      </c>
      <c r="I195" s="55"/>
      <c r="J195" s="59"/>
      <c r="K195" s="46"/>
      <c r="L195" s="10"/>
      <c r="M195" s="39"/>
      <c r="N195" s="49"/>
    </row>
    <row r="196" spans="1:14" ht="25.5" hidden="1">
      <c r="A196" s="33" t="s">
        <v>211</v>
      </c>
      <c r="B196" s="33" t="s">
        <v>556</v>
      </c>
      <c r="C196" s="50">
        <v>653</v>
      </c>
      <c r="D196" s="34" t="str">
        <f t="array" ref="D196">INDEX('Synergy import (8232022)'!A$1:L$229,MATCH(C196,'Synergy import (8232022)'!D$1:D$229,0),8)</f>
        <v>Williams Cascio, Kimberly A.</v>
      </c>
      <c r="E196" s="34" t="str">
        <f t="array" ref="E196">INDEX('Synergy import (8232022)'!A$1:L$229,MATCH(C196,'Synergy import (8232022)'!D$1:D$229,0),7)</f>
        <v>Kimberly_A_Williams@mcpsmd.org</v>
      </c>
      <c r="F196" s="51" t="s">
        <v>668</v>
      </c>
      <c r="G196" s="52"/>
      <c r="H196" s="36" t="s">
        <v>657</v>
      </c>
      <c r="I196" s="55"/>
      <c r="J196" s="39"/>
      <c r="K196" s="57"/>
      <c r="L196" s="49"/>
      <c r="M196" s="38"/>
      <c r="N196" s="49"/>
    </row>
    <row r="197" spans="1:14" ht="12.75">
      <c r="A197" s="33" t="s">
        <v>129</v>
      </c>
      <c r="B197" s="33" t="s">
        <v>271</v>
      </c>
      <c r="C197" s="34">
        <v>566</v>
      </c>
      <c r="D197" s="34" t="str">
        <f t="array" ref="D197">INDEX('Synergy import (8232022)'!A$1:L$229,MATCH(C197,'Synergy import (8232022)'!D$1:D$229,0),8)</f>
        <v>Williams, Erica W.</v>
      </c>
      <c r="E197" s="34" t="str">
        <f t="array" ref="E197">INDEX('Synergy import (8232022)'!A$1:L$229,MATCH(C197,'Synergy import (8232022)'!D$1:D$229,0),7)</f>
        <v>Erica_Williams@mcpsmd.org</v>
      </c>
      <c r="F197" s="60" t="s">
        <v>647</v>
      </c>
      <c r="G197" s="44" t="s">
        <v>321</v>
      </c>
      <c r="H197" s="36" t="s">
        <v>133</v>
      </c>
      <c r="I197" s="55"/>
      <c r="J197" s="39"/>
      <c r="K197" s="46"/>
      <c r="L197" s="10"/>
      <c r="M197" s="39"/>
      <c r="N197" s="49"/>
    </row>
    <row r="198" spans="1:14" ht="12.75">
      <c r="A198" s="33" t="s">
        <v>139</v>
      </c>
      <c r="B198" s="33" t="s">
        <v>596</v>
      </c>
      <c r="C198" s="50">
        <v>504</v>
      </c>
      <c r="D198" s="34" t="str">
        <f t="array" ref="D198">INDEX('Synergy import (8232022)'!A$1:L$229,MATCH(C198,'Synergy import (8232022)'!D$1:D$229,0),8)</f>
        <v>Wilson, Audra M.</v>
      </c>
      <c r="E198" s="34" t="str">
        <f t="array" ref="E198">INDEX('Synergy import (8232022)'!A$1:L$229,MATCH(C198,'Synergy import (8232022)'!D$1:D$229,0),7)</f>
        <v>Audra_M_Wilson@mcpsmd.org</v>
      </c>
      <c r="F198" s="51" t="s">
        <v>38</v>
      </c>
      <c r="G198" s="44" t="s">
        <v>358</v>
      </c>
      <c r="H198" s="36" t="s">
        <v>363</v>
      </c>
      <c r="I198" s="55"/>
      <c r="J198" s="39"/>
      <c r="K198" s="57"/>
      <c r="L198" s="49" t="s">
        <v>588</v>
      </c>
      <c r="M198" s="38" t="s">
        <v>738</v>
      </c>
      <c r="N198" s="49"/>
    </row>
    <row r="199" spans="1:14" ht="12.75" hidden="1">
      <c r="A199" s="33" t="s">
        <v>52</v>
      </c>
      <c r="B199" s="33" t="s">
        <v>505</v>
      </c>
      <c r="C199" s="50">
        <v>227</v>
      </c>
      <c r="D199" s="34" t="str">
        <f t="array" ref="D199">INDEX('Synergy import (8232022)'!A$1:L$229,MATCH(C199,'Synergy import (8232022)'!D$1:D$229,0),8)</f>
        <v>Winter, Andrew J.</v>
      </c>
      <c r="E199" s="34" t="str">
        <f t="array" ref="E199">INDEX('Synergy import (8232022)'!A$1:L$229,MATCH(C199,'Synergy import (8232022)'!D$1:D$229,0),7)</f>
        <v>Andrew_J_Winter@mcpsmd.org</v>
      </c>
      <c r="F199" s="56" t="s">
        <v>356</v>
      </c>
      <c r="G199" s="52"/>
      <c r="H199" s="36" t="s">
        <v>59</v>
      </c>
      <c r="I199" s="55"/>
      <c r="J199" s="39"/>
      <c r="K199" s="46"/>
      <c r="L199" s="10"/>
      <c r="M199" s="39"/>
      <c r="N199" s="49"/>
    </row>
    <row r="200" spans="1:14" ht="12.75">
      <c r="A200" s="33" t="s">
        <v>429</v>
      </c>
      <c r="B200" s="33" t="s">
        <v>604</v>
      </c>
      <c r="C200" s="34">
        <v>558</v>
      </c>
      <c r="D200" s="34" t="str">
        <f t="array" ref="D200">INDEX('Synergy import (8232022)'!A$1:L$229,MATCH(C200,'Synergy import (8232022)'!D$1:D$229,0),8)</f>
        <v>Woods, Loretta A.</v>
      </c>
      <c r="E200" s="34" t="str">
        <f t="array" ref="E200">INDEX('Synergy import (8232022)'!A$1:L$229,MATCH(C200,'Synergy import (8232022)'!D$1:D$229,0),7)</f>
        <v>Loretta_A_Woods@mcpsmd.org</v>
      </c>
      <c r="F200" s="60" t="s">
        <v>503</v>
      </c>
      <c r="G200" s="44" t="s">
        <v>183</v>
      </c>
      <c r="H200" s="36" t="s">
        <v>585</v>
      </c>
      <c r="I200" s="37" t="s">
        <v>202</v>
      </c>
      <c r="J200" s="39"/>
      <c r="K200" s="46"/>
      <c r="L200" s="10"/>
      <c r="M200" s="39"/>
      <c r="N200" s="49"/>
    </row>
    <row r="201" spans="1:14" ht="12.75" hidden="1">
      <c r="A201" s="33" t="s">
        <v>148</v>
      </c>
      <c r="B201" s="33" t="s">
        <v>591</v>
      </c>
      <c r="C201" s="34">
        <v>345</v>
      </c>
      <c r="D201" s="34" t="str">
        <f t="array" ref="D201">INDEX('Synergy import (8232022)'!A$1:L$229,MATCH(C201,'Synergy import (8232022)'!D$1:D$229,0),8)</f>
        <v>Woodward, Barbara A.</v>
      </c>
      <c r="E201" s="34" t="str">
        <f t="array" ref="E201">INDEX('Synergy import (8232022)'!A$1:L$229,MATCH(C201,'Synergy import (8232022)'!D$1:D$229,0),7)</f>
        <v>Barbara_A_Woodward@mcpsmd.org</v>
      </c>
      <c r="F201" s="43" t="s">
        <v>761</v>
      </c>
      <c r="G201" s="52"/>
      <c r="H201" s="36" t="s">
        <v>34</v>
      </c>
      <c r="I201" s="55"/>
      <c r="J201" s="39"/>
      <c r="K201" s="46"/>
      <c r="L201" s="10"/>
      <c r="M201" s="38" t="s">
        <v>739</v>
      </c>
      <c r="N201" s="49"/>
    </row>
    <row r="202" spans="1:14" ht="12.75">
      <c r="A202" s="33" t="s">
        <v>29</v>
      </c>
      <c r="B202" s="33" t="s">
        <v>30</v>
      </c>
      <c r="C202" s="50">
        <v>705</v>
      </c>
      <c r="D202" s="34" t="str">
        <f t="array" ref="D202">INDEX('Synergy import (8232022)'!A$1:L$229,MATCH(C202,'Synergy import (8232022)'!D$1:D$229,0),8)</f>
        <v>Worthington, Louise J.</v>
      </c>
      <c r="E202" s="34" t="str">
        <f t="array" ref="E202">INDEX('Synergy import (8232022)'!A$1:L$229,MATCH(C202,'Synergy import (8232022)'!D$1:D$229,0),7)</f>
        <v>Louise_J_Worthington@mcpsmd.org</v>
      </c>
      <c r="F202" s="56" t="s">
        <v>31</v>
      </c>
      <c r="G202" s="44" t="s">
        <v>32</v>
      </c>
      <c r="H202" s="36" t="s">
        <v>34</v>
      </c>
      <c r="I202" s="55"/>
      <c r="J202" s="45"/>
      <c r="K202" s="46"/>
      <c r="L202" s="10"/>
      <c r="M202" s="38" t="s">
        <v>742</v>
      </c>
      <c r="N202" s="49"/>
    </row>
    <row r="203" spans="1:14" ht="12.75" hidden="1">
      <c r="A203" s="33" t="s">
        <v>148</v>
      </c>
      <c r="B203" s="33" t="s">
        <v>173</v>
      </c>
      <c r="C203" s="50">
        <v>703</v>
      </c>
      <c r="D203" s="34" t="str">
        <f t="array" ref="D203">INDEX('Synergy import (8232022)'!A$1:L$229,MATCH(C203,'Synergy import (8232022)'!D$1:D$229,0),8)</f>
        <v>Wynne, Christopher A.</v>
      </c>
      <c r="E203" s="34" t="str">
        <f t="array" ref="E203">INDEX('Synergy import (8232022)'!A$1:L$229,MATCH(C203,'Synergy import (8232022)'!D$1:D$229,0),7)</f>
        <v>Christopher_A_Wynne@mcpsmd.org</v>
      </c>
      <c r="F203" s="56" t="s">
        <v>174</v>
      </c>
      <c r="G203" s="52"/>
      <c r="H203" s="36" t="s">
        <v>251</v>
      </c>
      <c r="I203" s="55"/>
      <c r="J203" s="39"/>
      <c r="K203" s="46"/>
      <c r="L203" s="10"/>
      <c r="M203" s="39"/>
      <c r="N203" s="49"/>
    </row>
    <row r="204" spans="1:14" ht="12.75" hidden="1">
      <c r="A204" s="33" t="s">
        <v>29</v>
      </c>
      <c r="B204" s="33" t="s">
        <v>228</v>
      </c>
      <c r="C204" s="50">
        <v>701</v>
      </c>
      <c r="D204" s="34" t="str">
        <f t="array" ref="D204">INDEX('Synergy import (8232022)'!A$1:L$229,MATCH(C204,'Synergy import (8232022)'!D$1:D$229,0),8)</f>
        <v>Yates, Kevin D.</v>
      </c>
      <c r="E204" s="34" t="str">
        <f t="array" ref="E204">INDEX('Synergy import (8232022)'!A$1:L$229,MATCH(C204,'Synergy import (8232022)'!D$1:D$229,0),7)</f>
        <v>Kevin_D_Yates@mcpsmd.org</v>
      </c>
      <c r="F204" s="56" t="s">
        <v>150</v>
      </c>
      <c r="G204" s="52"/>
      <c r="H204" s="36" t="s">
        <v>193</v>
      </c>
      <c r="I204" s="55"/>
      <c r="J204" s="39"/>
      <c r="K204" s="57"/>
      <c r="L204" s="49"/>
      <c r="M204" s="38" t="s">
        <v>743</v>
      </c>
      <c r="N204" s="49"/>
    </row>
    <row r="205" spans="1:14" ht="12.75">
      <c r="A205" s="33" t="s">
        <v>148</v>
      </c>
      <c r="B205" s="33" t="s">
        <v>295</v>
      </c>
      <c r="C205" s="50">
        <v>106</v>
      </c>
      <c r="D205" s="34" t="str">
        <f t="array" ref="D205">INDEX('Synergy import (8232022)'!A$1:L$229,MATCH(C205,'Synergy import (8232022)'!D$1:D$229,0),8)</f>
        <v>Yates, Lita M.</v>
      </c>
      <c r="E205" s="34" t="str">
        <f t="array" ref="E205">INDEX('Synergy import (8232022)'!A$1:L$229,MATCH(C205,'Synergy import (8232022)'!D$1:D$229,0),7)</f>
        <v>Lita_M_Yates@mcpsmd.org</v>
      </c>
      <c r="F205" s="56" t="s">
        <v>141</v>
      </c>
      <c r="G205" s="44" t="s">
        <v>675</v>
      </c>
      <c r="H205" s="36" t="s">
        <v>433</v>
      </c>
      <c r="I205" s="55"/>
      <c r="J205" s="39"/>
      <c r="K205" s="46"/>
      <c r="L205" s="10"/>
      <c r="M205" s="39"/>
      <c r="N205" s="49"/>
    </row>
    <row r="206" spans="1:14" ht="12.75">
      <c r="A206" s="33" t="s">
        <v>284</v>
      </c>
      <c r="B206" s="33" t="s">
        <v>352</v>
      </c>
      <c r="C206" s="50">
        <v>784</v>
      </c>
      <c r="D206" s="34" t="str">
        <f t="array" ref="D206">INDEX('Synergy import (8232022)'!A$1:L$229,MATCH(C206,'Synergy import (8232022)'!D$1:D$229,0),8)</f>
        <v>Yim, Hanna</v>
      </c>
      <c r="E206" s="34" t="str">
        <f t="array" ref="E206">INDEX('Synergy import (8232022)'!A$1:L$229,MATCH(C206,'Synergy import (8232022)'!D$1:D$229,0),7)</f>
        <v>Hanna_Kim@mcpsmd.org</v>
      </c>
      <c r="F206" s="51" t="s">
        <v>459</v>
      </c>
      <c r="G206" s="44" t="s">
        <v>287</v>
      </c>
      <c r="H206" s="36" t="s">
        <v>353</v>
      </c>
      <c r="I206" s="55"/>
      <c r="J206" s="59"/>
      <c r="K206" s="46"/>
      <c r="L206" s="49" t="s">
        <v>602</v>
      </c>
      <c r="M206" s="38" t="s">
        <v>744</v>
      </c>
      <c r="N206" s="49"/>
    </row>
    <row r="207" spans="1:14" ht="12.75" hidden="1">
      <c r="A207" s="33" t="s">
        <v>41</v>
      </c>
      <c r="B207" s="33" t="s">
        <v>615</v>
      </c>
      <c r="C207" s="50">
        <v>417</v>
      </c>
      <c r="D207" s="34" t="str">
        <f t="array" ref="D207">INDEX('Synergy import (8232022)'!A$1:L$229,MATCH(C207,'Synergy import (8232022)'!D$1:D$229,0),8)</f>
        <v>Zaks, Sweta</v>
      </c>
      <c r="E207" s="34" t="str">
        <f t="array" ref="E207">INDEX('Synergy import (8232022)'!A$1:L$229,MATCH(C207,'Synergy import (8232022)'!D$1:D$229,0),7)</f>
        <v>Sweta_Zaks@mcpsmd.org</v>
      </c>
      <c r="F207" s="51" t="s">
        <v>138</v>
      </c>
      <c r="G207" s="52"/>
      <c r="H207" s="36" t="s">
        <v>175</v>
      </c>
      <c r="I207" s="55"/>
      <c r="J207" s="39"/>
      <c r="K207" s="46"/>
      <c r="L207" s="10"/>
      <c r="M207" s="39"/>
      <c r="N207" s="49"/>
    </row>
    <row r="208" spans="1:14" ht="12.75">
      <c r="A208" s="33" t="s">
        <v>429</v>
      </c>
      <c r="B208" s="33" t="s">
        <v>553</v>
      </c>
      <c r="C208" s="34">
        <v>568</v>
      </c>
      <c r="D208" s="34" t="str">
        <f t="array" ref="D208">INDEX('Synergy import (8232022)'!A$1:L$229,MATCH(C208,'Synergy import (8232022)'!D$1:D$229,0),8)</f>
        <v>Zolkower, Galit</v>
      </c>
      <c r="E208" s="34" t="str">
        <f t="array" ref="E208">INDEX('Synergy import (8232022)'!A$1:L$229,MATCH(C208,'Synergy import (8232022)'!D$1:D$229,0),7)</f>
        <v>Galit_Zolkower@mcpsmd.org</v>
      </c>
      <c r="F208" s="43" t="s">
        <v>293</v>
      </c>
      <c r="G208" s="44" t="s">
        <v>321</v>
      </c>
      <c r="H208" s="36" t="s">
        <v>151</v>
      </c>
      <c r="I208" s="55"/>
      <c r="J208" s="39"/>
      <c r="K208" s="46"/>
      <c r="L208" s="10"/>
      <c r="M208" s="39"/>
      <c r="N208" s="49"/>
    </row>
    <row r="209" spans="1:14" ht="12.75" hidden="1">
      <c r="A209" s="33" t="s">
        <v>89</v>
      </c>
      <c r="B209" s="33" t="s">
        <v>90</v>
      </c>
      <c r="C209" s="35"/>
      <c r="D209" s="34" t="e">
        <f t="array" ref="D209">INDEX('Synergy import (8232022)'!A$1:L$229,MATCH(C209,'Synergy import (8232022)'!D$1:D$229,0),8)</f>
        <v>#N/A</v>
      </c>
      <c r="E209" s="34" t="e">
        <f t="array" ref="E209">INDEX('Synergy import (8232022)'!A$1:L$229,MATCH(C209,'Synergy import (8232022)'!D$1:D$229,0),7)</f>
        <v>#N/A</v>
      </c>
      <c r="F209" s="60" t="s">
        <v>91</v>
      </c>
      <c r="G209" s="61"/>
      <c r="H209" s="36"/>
      <c r="I209" s="55"/>
      <c r="J209" s="39"/>
      <c r="K209" s="57"/>
      <c r="L209" s="49"/>
      <c r="M209" s="38" t="s">
        <v>745</v>
      </c>
      <c r="N209" s="49"/>
    </row>
    <row r="210" spans="1:14" ht="12.75" hidden="1">
      <c r="B210" s="33" t="s">
        <v>658</v>
      </c>
      <c r="C210" s="66"/>
      <c r="D210" s="34" t="e">
        <f t="array" ref="D210">INDEX('Synergy import (8232022)'!A$1:L$229,MATCH(C210,'Synergy import (8232022)'!D$1:D$229,0),8)</f>
        <v>#N/A</v>
      </c>
      <c r="E210" s="34" t="e">
        <f t="array" ref="E210">INDEX('Synergy import (8232022)'!A$1:L$229,MATCH(C210,'Synergy import (8232022)'!D$1:D$229,0),7)</f>
        <v>#N/A</v>
      </c>
      <c r="F210" s="67" t="s">
        <v>217</v>
      </c>
      <c r="G210" s="68"/>
      <c r="H210" s="36" t="s">
        <v>218</v>
      </c>
      <c r="I210" s="69"/>
      <c r="J210" s="39"/>
      <c r="K210" s="46"/>
      <c r="L210" s="49" t="s">
        <v>611</v>
      </c>
      <c r="M210" s="38" t="s">
        <v>746</v>
      </c>
      <c r="N210" s="49"/>
    </row>
    <row r="211" spans="1:14" ht="15" hidden="1">
      <c r="B211" s="33" t="s">
        <v>254</v>
      </c>
      <c r="C211" s="35"/>
      <c r="D211" s="34" t="e">
        <f t="array" ref="D211">INDEX('Synergy import (8232022)'!A$1:L$229,MATCH(C211,'Synergy import (8232022)'!D$1:D$229,0),8)</f>
        <v>#N/A</v>
      </c>
      <c r="E211" s="34" t="e">
        <f t="array" ref="E211">INDEX('Synergy import (8232022)'!A$1:L$229,MATCH(C211,'Synergy import (8232022)'!D$1:D$229,0),7)</f>
        <v>#N/A</v>
      </c>
      <c r="F211" s="60" t="s">
        <v>197</v>
      </c>
      <c r="G211" s="52"/>
      <c r="H211" s="72"/>
      <c r="I211" s="55"/>
      <c r="J211" s="39"/>
      <c r="K211" s="46"/>
      <c r="L211" s="10"/>
      <c r="M211" s="65"/>
      <c r="N211" s="49"/>
    </row>
    <row r="212" spans="1:14" ht="12.75" hidden="1">
      <c r="B212" s="33" t="s">
        <v>255</v>
      </c>
      <c r="C212" s="35"/>
      <c r="D212" s="34" t="e">
        <f t="array" ref="D212">INDEX('Synergy import (8232022)'!A$1:L$229,MATCH(C212,'Synergy import (8232022)'!D$1:D$229,0),8)</f>
        <v>#N/A</v>
      </c>
      <c r="E212" s="34" t="e">
        <f t="array" ref="E212">INDEX('Synergy import (8232022)'!A$1:L$229,MATCH(C212,'Synergy import (8232022)'!D$1:D$229,0),7)</f>
        <v>#N/A</v>
      </c>
      <c r="F212" s="60" t="s">
        <v>256</v>
      </c>
      <c r="G212" s="52"/>
      <c r="H212" s="72"/>
      <c r="I212" s="55"/>
      <c r="J212" s="39"/>
      <c r="K212" s="46"/>
      <c r="L212" s="10"/>
      <c r="M212" s="38"/>
      <c r="N212" s="49"/>
    </row>
    <row r="213" spans="1:14" ht="15" hidden="1">
      <c r="B213" s="33" t="s">
        <v>257</v>
      </c>
      <c r="C213" s="35"/>
      <c r="D213" s="34" t="e">
        <f t="array" ref="D213">INDEX('Synergy import (8232022)'!A$1:L$229,MATCH(C213,'Synergy import (8232022)'!D$1:D$229,0),8)</f>
        <v>#N/A</v>
      </c>
      <c r="E213" s="34" t="e">
        <f t="array" ref="E213">INDEX('Synergy import (8232022)'!A$1:L$229,MATCH(C213,'Synergy import (8232022)'!D$1:D$229,0),7)</f>
        <v>#N/A</v>
      </c>
      <c r="F213" s="60" t="s">
        <v>197</v>
      </c>
      <c r="G213" s="52"/>
      <c r="H213" s="72"/>
      <c r="I213" s="55"/>
      <c r="J213" s="39"/>
      <c r="K213" s="46"/>
      <c r="L213" s="10"/>
      <c r="M213" s="65" t="s">
        <v>747</v>
      </c>
      <c r="N213" s="49"/>
    </row>
    <row r="214" spans="1:14" ht="12.75" hidden="1">
      <c r="B214" s="33" t="s">
        <v>258</v>
      </c>
      <c r="C214" s="34"/>
      <c r="D214" s="34" t="e">
        <f t="array" ref="D214">INDEX('Synergy import (8232022)'!A$1:L$229,MATCH(C214,'Synergy import (8232022)'!D$1:D$229,0),8)</f>
        <v>#N/A</v>
      </c>
      <c r="E214" s="34" t="e">
        <f t="array" ref="E214">INDEX('Synergy import (8232022)'!A$1:L$229,MATCH(C214,'Synergy import (8232022)'!D$1:D$229,0),7)</f>
        <v>#N/A</v>
      </c>
      <c r="F214" s="43" t="s">
        <v>221</v>
      </c>
      <c r="G214" s="52"/>
      <c r="H214" s="72"/>
      <c r="I214" s="55"/>
      <c r="J214" s="39"/>
      <c r="K214" s="57"/>
      <c r="L214" s="49"/>
      <c r="M214" s="38"/>
      <c r="N214" s="49"/>
    </row>
    <row r="215" spans="1:14" ht="12.75" hidden="1">
      <c r="B215" s="33" t="s">
        <v>259</v>
      </c>
      <c r="C215" s="73"/>
      <c r="D215" s="34" t="e">
        <f t="array" ref="D215">INDEX('Synergy import (8232022)'!A$1:L$229,MATCH(C215,'Synergy import (8232022)'!D$1:D$229,0),8)</f>
        <v>#N/A</v>
      </c>
      <c r="E215" s="34" t="e">
        <f t="array" ref="E215">INDEX('Synergy import (8232022)'!A$1:L$229,MATCH(C215,'Synergy import (8232022)'!D$1:D$229,0),7)</f>
        <v>#N/A</v>
      </c>
      <c r="F215" s="56" t="s">
        <v>668</v>
      </c>
      <c r="G215" s="52"/>
      <c r="H215" s="72"/>
      <c r="I215" s="55"/>
      <c r="J215" s="39"/>
      <c r="K215" s="46"/>
      <c r="L215" s="10"/>
      <c r="M215" s="39"/>
      <c r="N215" s="49"/>
    </row>
    <row r="216" spans="1:14" ht="12.75" hidden="1">
      <c r="B216" s="33" t="s">
        <v>260</v>
      </c>
      <c r="C216" s="49"/>
      <c r="D216" s="34" t="e">
        <f t="array" ref="D216">INDEX('Synergy import (8232022)'!A$1:L$229,MATCH(C216,'Synergy import (8232022)'!D$1:D$229,0),8)</f>
        <v>#N/A</v>
      </c>
      <c r="E216" s="34" t="e">
        <f t="array" ref="E216">INDEX('Synergy import (8232022)'!A$1:L$229,MATCH(C216,'Synergy import (8232022)'!D$1:D$229,0),7)</f>
        <v>#N/A</v>
      </c>
      <c r="F216" s="74" t="s">
        <v>261</v>
      </c>
      <c r="G216" s="52"/>
      <c r="H216" s="72"/>
      <c r="I216" s="88"/>
      <c r="J216" s="39"/>
      <c r="K216" s="46"/>
      <c r="L216" s="49" t="s">
        <v>621</v>
      </c>
      <c r="M216" s="38" t="s">
        <v>748</v>
      </c>
      <c r="N216" s="49"/>
    </row>
    <row r="217" spans="1:14" ht="12.75" hidden="1">
      <c r="B217" s="33" t="s">
        <v>262</v>
      </c>
      <c r="C217" s="35"/>
      <c r="D217" s="34" t="e">
        <f t="array" ref="D217">INDEX('Synergy import (8232022)'!A$1:L$229,MATCH(C217,'Synergy import (8232022)'!D$1:D$229,0),8)</f>
        <v>#N/A</v>
      </c>
      <c r="E217" s="34" t="e">
        <f t="array" ref="E217">INDEX('Synergy import (8232022)'!A$1:L$229,MATCH(C217,'Synergy import (8232022)'!D$1:D$229,0),7)</f>
        <v>#N/A</v>
      </c>
      <c r="F217" s="60" t="s">
        <v>197</v>
      </c>
      <c r="G217" s="88"/>
      <c r="H217" s="90"/>
      <c r="I217" s="88"/>
      <c r="J217" s="39"/>
      <c r="M217" s="39"/>
    </row>
    <row r="218" spans="1:14" ht="15">
      <c r="C218" s="91"/>
      <c r="D218" s="91"/>
      <c r="E218" s="91"/>
      <c r="F218" s="91" t="s">
        <v>749</v>
      </c>
      <c r="G218" s="92"/>
      <c r="H218" s="93"/>
      <c r="J218" s="90"/>
      <c r="M218" s="10"/>
    </row>
    <row r="219" spans="1:14" ht="12.75">
      <c r="C219" s="92"/>
      <c r="D219" s="92"/>
      <c r="E219" s="92"/>
      <c r="F219" s="92"/>
      <c r="G219" s="92"/>
      <c r="H219" s="93"/>
      <c r="I219" s="90"/>
      <c r="J219" s="90"/>
      <c r="M219" s="10"/>
    </row>
    <row r="220" spans="1:14" ht="12.75">
      <c r="B220" s="94"/>
      <c r="C220" s="95"/>
      <c r="D220" s="95"/>
      <c r="E220" s="95"/>
      <c r="F220" s="95"/>
      <c r="G220" s="96" t="s">
        <v>750</v>
      </c>
      <c r="H220" s="97"/>
      <c r="I220" s="98" t="s">
        <v>751</v>
      </c>
      <c r="J220" s="98" t="s">
        <v>752</v>
      </c>
      <c r="K220" s="96"/>
      <c r="L220" s="96" t="s">
        <v>753</v>
      </c>
      <c r="M220" s="98" t="s">
        <v>752</v>
      </c>
    </row>
    <row r="221" spans="1:14" ht="12.75">
      <c r="C221" s="92"/>
      <c r="D221" s="92"/>
      <c r="E221" s="92"/>
      <c r="F221" s="92"/>
      <c r="G221" s="92"/>
      <c r="H221" s="93"/>
      <c r="I221" s="90"/>
      <c r="J221" s="90"/>
      <c r="M221" s="10"/>
    </row>
    <row r="222" spans="1:14" ht="12.75">
      <c r="C222" s="92"/>
      <c r="D222" s="92"/>
      <c r="E222" s="92"/>
      <c r="F222" s="92"/>
      <c r="G222" s="92"/>
      <c r="H222" s="93"/>
      <c r="I222" s="90"/>
      <c r="J222" s="90"/>
      <c r="M222" s="10"/>
    </row>
    <row r="223" spans="1:14" ht="12.75">
      <c r="C223" s="92"/>
      <c r="D223" s="92"/>
      <c r="E223" s="92"/>
      <c r="F223" s="92"/>
      <c r="G223" s="92"/>
      <c r="H223" s="93"/>
      <c r="I223" s="90"/>
      <c r="J223" s="90"/>
      <c r="M223" s="10"/>
    </row>
    <row r="224" spans="1:14" ht="12.75">
      <c r="C224" s="92"/>
      <c r="D224" s="92"/>
      <c r="E224" s="92"/>
      <c r="F224" s="92"/>
      <c r="G224" s="92"/>
      <c r="H224" s="93"/>
      <c r="I224" s="90"/>
      <c r="J224" s="90"/>
      <c r="M224" s="10"/>
    </row>
    <row r="225" spans="3:13" ht="12.75">
      <c r="C225" s="92"/>
      <c r="D225" s="92"/>
      <c r="E225" s="92"/>
      <c r="F225" s="92"/>
      <c r="G225" s="92"/>
      <c r="H225" s="93"/>
      <c r="I225" s="90"/>
      <c r="J225" s="90"/>
      <c r="M225" s="10"/>
    </row>
    <row r="226" spans="3:13" ht="12.75">
      <c r="C226" s="92"/>
      <c r="D226" s="92"/>
      <c r="E226" s="92"/>
      <c r="F226" s="92"/>
      <c r="G226" s="92"/>
      <c r="H226" s="93"/>
      <c r="I226" s="90"/>
      <c r="J226" s="90"/>
      <c r="M226" s="10"/>
    </row>
    <row r="227" spans="3:13" ht="12.75">
      <c r="C227" s="92"/>
      <c r="D227" s="92"/>
      <c r="E227" s="92"/>
      <c r="F227" s="92"/>
      <c r="G227" s="92"/>
      <c r="H227" s="93"/>
      <c r="I227" s="90"/>
      <c r="J227" s="90"/>
      <c r="M227" s="10"/>
    </row>
    <row r="228" spans="3:13" ht="12.75">
      <c r="C228" s="92"/>
      <c r="D228" s="92"/>
      <c r="E228" s="92"/>
      <c r="F228" s="92"/>
      <c r="G228" s="92"/>
      <c r="H228" s="93"/>
      <c r="I228" s="90"/>
      <c r="J228" s="90"/>
      <c r="M228" s="10"/>
    </row>
    <row r="229" spans="3:13" ht="12.75">
      <c r="C229" s="92"/>
      <c r="D229" s="92"/>
      <c r="E229" s="92"/>
      <c r="F229" s="92"/>
      <c r="G229" s="92"/>
      <c r="H229" s="93"/>
      <c r="I229" s="90"/>
      <c r="J229" s="90"/>
      <c r="M229" s="10"/>
    </row>
    <row r="230" spans="3:13" ht="12.75">
      <c r="C230" s="92"/>
      <c r="D230" s="92"/>
      <c r="E230" s="92"/>
      <c r="F230" s="92"/>
      <c r="G230" s="92"/>
      <c r="H230" s="93"/>
      <c r="I230" s="90"/>
      <c r="J230" s="90"/>
      <c r="M230" s="10"/>
    </row>
    <row r="231" spans="3:13" ht="12.75">
      <c r="C231" s="92"/>
      <c r="D231" s="92"/>
      <c r="E231" s="92"/>
      <c r="F231" s="92"/>
      <c r="G231" s="92"/>
      <c r="H231" s="93"/>
      <c r="I231" s="90"/>
      <c r="J231" s="90"/>
      <c r="M231" s="10"/>
    </row>
    <row r="232" spans="3:13" ht="12.75">
      <c r="C232" s="92"/>
      <c r="D232" s="92"/>
      <c r="E232" s="92"/>
      <c r="F232" s="92"/>
      <c r="G232" s="92"/>
      <c r="H232" s="93"/>
      <c r="I232" s="90"/>
      <c r="J232" s="90"/>
      <c r="M232" s="10"/>
    </row>
    <row r="233" spans="3:13" ht="12.75">
      <c r="C233" s="92"/>
      <c r="D233" s="92"/>
      <c r="E233" s="92"/>
      <c r="F233" s="92"/>
      <c r="G233" s="92"/>
      <c r="H233" s="93"/>
      <c r="I233" s="90"/>
      <c r="J233" s="90"/>
      <c r="M233" s="10"/>
    </row>
    <row r="234" spans="3:13" ht="12.75">
      <c r="C234" s="92"/>
      <c r="D234" s="92"/>
      <c r="E234" s="92"/>
      <c r="F234" s="92"/>
      <c r="G234" s="92"/>
      <c r="H234" s="93"/>
      <c r="I234" s="90"/>
      <c r="J234" s="90"/>
      <c r="M234" s="10"/>
    </row>
    <row r="235" spans="3:13" ht="12.75">
      <c r="C235" s="92"/>
      <c r="D235" s="92"/>
      <c r="E235" s="92"/>
      <c r="F235" s="92"/>
      <c r="G235" s="92"/>
      <c r="H235" s="93"/>
      <c r="I235" s="90"/>
      <c r="J235" s="90"/>
      <c r="M235" s="10"/>
    </row>
    <row r="236" spans="3:13" ht="12.75">
      <c r="C236" s="92"/>
      <c r="D236" s="92"/>
      <c r="E236" s="92"/>
      <c r="F236" s="92"/>
      <c r="G236" s="92"/>
      <c r="H236" s="93"/>
      <c r="I236" s="90"/>
      <c r="J236" s="90"/>
      <c r="M236" s="10"/>
    </row>
    <row r="237" spans="3:13" ht="12.75">
      <c r="C237" s="92"/>
      <c r="D237" s="92"/>
      <c r="E237" s="92"/>
      <c r="F237" s="92"/>
      <c r="G237" s="92"/>
      <c r="H237" s="93"/>
      <c r="I237" s="90"/>
      <c r="J237" s="90"/>
      <c r="M237" s="10"/>
    </row>
    <row r="238" spans="3:13" ht="12.75">
      <c r="C238" s="92"/>
      <c r="D238" s="92"/>
      <c r="E238" s="92"/>
      <c r="F238" s="92"/>
      <c r="G238" s="92"/>
      <c r="H238" s="93"/>
      <c r="I238" s="90"/>
      <c r="J238" s="90"/>
      <c r="M238" s="10"/>
    </row>
    <row r="239" spans="3:13" ht="12.75">
      <c r="C239" s="92"/>
      <c r="D239" s="92"/>
      <c r="E239" s="92"/>
      <c r="F239" s="92"/>
      <c r="G239" s="92"/>
      <c r="H239" s="93"/>
      <c r="I239" s="90"/>
      <c r="J239" s="90"/>
      <c r="M239" s="10"/>
    </row>
    <row r="240" spans="3:13" ht="12.75">
      <c r="C240" s="92"/>
      <c r="D240" s="92"/>
      <c r="E240" s="92"/>
      <c r="F240" s="92"/>
      <c r="G240" s="92"/>
      <c r="H240" s="93"/>
      <c r="I240" s="90"/>
      <c r="J240" s="90"/>
      <c r="M240" s="10"/>
    </row>
    <row r="241" spans="3:13" ht="12.75">
      <c r="C241" s="92"/>
      <c r="D241" s="92"/>
      <c r="E241" s="92"/>
      <c r="F241" s="92"/>
      <c r="G241" s="92"/>
      <c r="H241" s="93"/>
      <c r="I241" s="90"/>
      <c r="J241" s="90"/>
      <c r="M241" s="10"/>
    </row>
    <row r="242" spans="3:13" ht="12.75">
      <c r="C242" s="92"/>
      <c r="D242" s="92"/>
      <c r="E242" s="92"/>
      <c r="F242" s="92"/>
      <c r="G242" s="92"/>
      <c r="H242" s="93"/>
      <c r="I242" s="90"/>
      <c r="J242" s="90"/>
      <c r="M242" s="10"/>
    </row>
    <row r="243" spans="3:13" ht="12.75">
      <c r="C243" s="92"/>
      <c r="D243" s="92"/>
      <c r="E243" s="92"/>
      <c r="F243" s="92"/>
      <c r="G243" s="92"/>
      <c r="H243" s="93"/>
      <c r="I243" s="90"/>
      <c r="J243" s="90"/>
      <c r="M243" s="10"/>
    </row>
    <row r="244" spans="3:13" ht="12.75">
      <c r="C244" s="92"/>
      <c r="D244" s="92"/>
      <c r="E244" s="92"/>
      <c r="F244" s="92"/>
      <c r="G244" s="92"/>
      <c r="H244" s="93"/>
      <c r="I244" s="90"/>
      <c r="J244" s="90"/>
      <c r="M244" s="10"/>
    </row>
    <row r="245" spans="3:13" ht="12.75">
      <c r="C245" s="92"/>
      <c r="D245" s="92"/>
      <c r="E245" s="92"/>
      <c r="F245" s="92"/>
      <c r="G245" s="92"/>
      <c r="H245" s="93"/>
      <c r="I245" s="90"/>
      <c r="J245" s="90"/>
      <c r="M245" s="10"/>
    </row>
    <row r="246" spans="3:13" ht="12.75">
      <c r="C246" s="92"/>
      <c r="D246" s="92"/>
      <c r="E246" s="92"/>
      <c r="F246" s="92"/>
      <c r="G246" s="92"/>
      <c r="H246" s="93"/>
      <c r="I246" s="90"/>
      <c r="J246" s="90"/>
      <c r="M246" s="10"/>
    </row>
    <row r="247" spans="3:13" ht="12.75">
      <c r="C247" s="92"/>
      <c r="D247" s="92"/>
      <c r="E247" s="92"/>
      <c r="F247" s="92"/>
      <c r="G247" s="92"/>
      <c r="H247" s="93"/>
      <c r="I247" s="90"/>
      <c r="J247" s="90"/>
      <c r="M247" s="10"/>
    </row>
    <row r="248" spans="3:13" ht="12.75">
      <c r="C248" s="92"/>
      <c r="D248" s="92"/>
      <c r="E248" s="92"/>
      <c r="F248" s="92"/>
      <c r="G248" s="92"/>
      <c r="H248" s="93"/>
      <c r="I248" s="90"/>
      <c r="J248" s="90"/>
      <c r="M248" s="10"/>
    </row>
    <row r="249" spans="3:13" ht="12.75">
      <c r="C249" s="92"/>
      <c r="D249" s="92"/>
      <c r="E249" s="92"/>
      <c r="F249" s="92"/>
      <c r="G249" s="92"/>
      <c r="H249" s="93"/>
      <c r="I249" s="90"/>
      <c r="J249" s="90"/>
      <c r="M249" s="10"/>
    </row>
    <row r="250" spans="3:13" ht="12.75">
      <c r="C250" s="92"/>
      <c r="D250" s="92"/>
      <c r="E250" s="92"/>
      <c r="F250" s="92"/>
      <c r="G250" s="92"/>
      <c r="H250" s="93"/>
      <c r="I250" s="90"/>
      <c r="J250" s="90"/>
      <c r="M250" s="10"/>
    </row>
    <row r="251" spans="3:13" ht="12.75">
      <c r="C251" s="92"/>
      <c r="D251" s="92"/>
      <c r="E251" s="92"/>
      <c r="F251" s="92"/>
      <c r="G251" s="92"/>
      <c r="H251" s="93"/>
      <c r="I251" s="90"/>
      <c r="J251" s="90"/>
      <c r="M251" s="10"/>
    </row>
    <row r="252" spans="3:13" ht="12.75">
      <c r="C252" s="92"/>
      <c r="D252" s="92"/>
      <c r="E252" s="92"/>
      <c r="F252" s="92"/>
      <c r="G252" s="92"/>
      <c r="H252" s="93"/>
      <c r="I252" s="90"/>
      <c r="J252" s="90"/>
      <c r="M252" s="10"/>
    </row>
    <row r="253" spans="3:13" ht="12.75">
      <c r="C253" s="92"/>
      <c r="D253" s="92"/>
      <c r="E253" s="92"/>
      <c r="F253" s="92"/>
      <c r="G253" s="92"/>
      <c r="H253" s="93"/>
      <c r="I253" s="90"/>
      <c r="J253" s="90"/>
      <c r="M253" s="10"/>
    </row>
    <row r="254" spans="3:13" ht="12.75">
      <c r="C254" s="92"/>
      <c r="D254" s="92"/>
      <c r="E254" s="92"/>
      <c r="F254" s="92"/>
      <c r="G254" s="92"/>
      <c r="H254" s="93"/>
      <c r="I254" s="90"/>
      <c r="J254" s="90"/>
      <c r="M254" s="10"/>
    </row>
    <row r="255" spans="3:13" ht="12.75">
      <c r="C255" s="92"/>
      <c r="D255" s="92"/>
      <c r="E255" s="92"/>
      <c r="F255" s="92"/>
      <c r="G255" s="92"/>
      <c r="H255" s="93"/>
      <c r="I255" s="90"/>
      <c r="J255" s="90"/>
      <c r="M255" s="10"/>
    </row>
    <row r="256" spans="3:13" ht="12.75">
      <c r="C256" s="92"/>
      <c r="D256" s="92"/>
      <c r="E256" s="92"/>
      <c r="F256" s="92"/>
      <c r="G256" s="92"/>
      <c r="H256" s="93"/>
      <c r="I256" s="90"/>
      <c r="J256" s="90"/>
      <c r="M256" s="10"/>
    </row>
    <row r="257" spans="3:13" ht="12.75">
      <c r="C257" s="92"/>
      <c r="D257" s="92"/>
      <c r="E257" s="92"/>
      <c r="F257" s="92"/>
      <c r="G257" s="92"/>
      <c r="H257" s="93"/>
      <c r="I257" s="90"/>
      <c r="J257" s="90"/>
      <c r="M257" s="10"/>
    </row>
    <row r="258" spans="3:13" ht="12.75">
      <c r="C258" s="92"/>
      <c r="D258" s="92"/>
      <c r="E258" s="92"/>
      <c r="F258" s="92"/>
      <c r="G258" s="92"/>
      <c r="H258" s="93"/>
      <c r="I258" s="90"/>
      <c r="J258" s="90"/>
      <c r="M258" s="10"/>
    </row>
    <row r="259" spans="3:13" ht="12.75">
      <c r="C259" s="92"/>
      <c r="D259" s="92"/>
      <c r="E259" s="92"/>
      <c r="F259" s="92"/>
      <c r="G259" s="92"/>
      <c r="H259" s="93"/>
      <c r="I259" s="90"/>
      <c r="J259" s="90"/>
      <c r="M259" s="10"/>
    </row>
    <row r="260" spans="3:13" ht="12.75">
      <c r="C260" s="92"/>
      <c r="D260" s="92"/>
      <c r="E260" s="92"/>
      <c r="F260" s="92"/>
      <c r="G260" s="92"/>
      <c r="H260" s="93"/>
      <c r="I260" s="90"/>
      <c r="J260" s="90"/>
      <c r="M260" s="10"/>
    </row>
    <row r="261" spans="3:13" ht="12.75">
      <c r="C261" s="92"/>
      <c r="D261" s="92"/>
      <c r="E261" s="92"/>
      <c r="F261" s="92"/>
      <c r="G261" s="92"/>
      <c r="H261" s="93"/>
      <c r="I261" s="90"/>
      <c r="J261" s="90"/>
      <c r="M261" s="10"/>
    </row>
    <row r="262" spans="3:13" ht="12.75">
      <c r="C262" s="92"/>
      <c r="D262" s="92"/>
      <c r="E262" s="92"/>
      <c r="F262" s="92"/>
      <c r="G262" s="92"/>
      <c r="H262" s="93"/>
      <c r="I262" s="90"/>
      <c r="J262" s="90"/>
      <c r="M262" s="10"/>
    </row>
    <row r="263" spans="3:13" ht="12.75">
      <c r="C263" s="92"/>
      <c r="D263" s="92"/>
      <c r="E263" s="92"/>
      <c r="F263" s="92"/>
      <c r="G263" s="92"/>
      <c r="H263" s="93"/>
      <c r="I263" s="90"/>
      <c r="J263" s="90"/>
      <c r="M263" s="10"/>
    </row>
    <row r="264" spans="3:13" ht="12.75">
      <c r="C264" s="92"/>
      <c r="D264" s="92"/>
      <c r="E264" s="92"/>
      <c r="F264" s="92"/>
      <c r="G264" s="92"/>
      <c r="H264" s="93"/>
      <c r="I264" s="90"/>
      <c r="J264" s="90"/>
      <c r="M264" s="10"/>
    </row>
    <row r="265" spans="3:13" ht="12.75">
      <c r="C265" s="92"/>
      <c r="D265" s="92"/>
      <c r="E265" s="92"/>
      <c r="F265" s="92"/>
      <c r="G265" s="92"/>
      <c r="H265" s="93"/>
      <c r="I265" s="90"/>
      <c r="J265" s="90"/>
      <c r="M265" s="10"/>
    </row>
    <row r="266" spans="3:13" ht="12.75">
      <c r="C266" s="92"/>
      <c r="D266" s="92"/>
      <c r="E266" s="92"/>
      <c r="F266" s="92"/>
      <c r="G266" s="92"/>
      <c r="H266" s="93"/>
      <c r="I266" s="90"/>
      <c r="J266" s="90"/>
      <c r="M266" s="10"/>
    </row>
    <row r="267" spans="3:13" ht="12.75">
      <c r="C267" s="92"/>
      <c r="D267" s="92"/>
      <c r="E267" s="92"/>
      <c r="F267" s="92"/>
      <c r="G267" s="92"/>
      <c r="H267" s="93"/>
      <c r="I267" s="90"/>
      <c r="J267" s="90"/>
      <c r="M267" s="10"/>
    </row>
    <row r="268" spans="3:13" ht="12.75">
      <c r="C268" s="92"/>
      <c r="D268" s="92"/>
      <c r="E268" s="92"/>
      <c r="F268" s="92"/>
      <c r="G268" s="92"/>
      <c r="H268" s="93"/>
      <c r="I268" s="90"/>
      <c r="J268" s="90"/>
      <c r="M268" s="10"/>
    </row>
    <row r="269" spans="3:13" ht="12.75">
      <c r="C269" s="92"/>
      <c r="D269" s="92"/>
      <c r="E269" s="92"/>
      <c r="F269" s="92"/>
      <c r="G269" s="92"/>
      <c r="H269" s="93"/>
      <c r="I269" s="90"/>
      <c r="J269" s="90"/>
      <c r="M269" s="10"/>
    </row>
    <row r="270" spans="3:13" ht="12.75">
      <c r="C270" s="92"/>
      <c r="D270" s="92"/>
      <c r="E270" s="92"/>
      <c r="F270" s="92"/>
      <c r="G270" s="92"/>
      <c r="H270" s="93"/>
      <c r="I270" s="90"/>
      <c r="J270" s="90"/>
      <c r="M270" s="10"/>
    </row>
    <row r="271" spans="3:13" ht="12.75">
      <c r="C271" s="92"/>
      <c r="D271" s="92"/>
      <c r="E271" s="92"/>
      <c r="F271" s="92"/>
      <c r="G271" s="92"/>
      <c r="H271" s="93"/>
      <c r="I271" s="90"/>
      <c r="J271" s="90"/>
      <c r="M271" s="10"/>
    </row>
    <row r="272" spans="3:13" ht="12.75">
      <c r="C272" s="92"/>
      <c r="D272" s="92"/>
      <c r="E272" s="92"/>
      <c r="F272" s="92"/>
      <c r="G272" s="92"/>
      <c r="H272" s="93"/>
      <c r="I272" s="90"/>
      <c r="J272" s="90"/>
      <c r="M272" s="10"/>
    </row>
    <row r="273" spans="3:13" ht="12.75">
      <c r="C273" s="92"/>
      <c r="D273" s="92"/>
      <c r="E273" s="92"/>
      <c r="F273" s="92"/>
      <c r="G273" s="92"/>
      <c r="H273" s="93"/>
      <c r="I273" s="90"/>
      <c r="J273" s="90"/>
      <c r="M273" s="10"/>
    </row>
    <row r="274" spans="3:13" ht="12.75">
      <c r="C274" s="92"/>
      <c r="D274" s="92"/>
      <c r="E274" s="92"/>
      <c r="F274" s="92"/>
      <c r="G274" s="92"/>
      <c r="H274" s="93"/>
      <c r="I274" s="90"/>
      <c r="J274" s="90"/>
      <c r="M274" s="10"/>
    </row>
    <row r="275" spans="3:13" ht="12.75">
      <c r="C275" s="92"/>
      <c r="D275" s="92"/>
      <c r="E275" s="92"/>
      <c r="F275" s="92"/>
      <c r="G275" s="92"/>
      <c r="H275" s="93"/>
      <c r="I275" s="90"/>
      <c r="J275" s="90"/>
      <c r="M275" s="10"/>
    </row>
    <row r="276" spans="3:13" ht="12.75">
      <c r="C276" s="92"/>
      <c r="D276" s="92"/>
      <c r="E276" s="92"/>
      <c r="F276" s="92"/>
      <c r="G276" s="92"/>
      <c r="H276" s="93"/>
      <c r="I276" s="90"/>
      <c r="J276" s="90"/>
      <c r="M276" s="10"/>
    </row>
    <row r="277" spans="3:13" ht="12.75">
      <c r="C277" s="92"/>
      <c r="D277" s="92"/>
      <c r="E277" s="92"/>
      <c r="F277" s="92"/>
      <c r="G277" s="92"/>
      <c r="H277" s="93"/>
      <c r="I277" s="90"/>
      <c r="J277" s="90"/>
      <c r="M277" s="10"/>
    </row>
    <row r="278" spans="3:13" ht="12.75">
      <c r="C278" s="92"/>
      <c r="D278" s="92"/>
      <c r="E278" s="92"/>
      <c r="F278" s="92"/>
      <c r="G278" s="92"/>
      <c r="H278" s="93"/>
      <c r="I278" s="90"/>
      <c r="J278" s="90"/>
      <c r="M278" s="10"/>
    </row>
    <row r="279" spans="3:13" ht="12.75">
      <c r="C279" s="92"/>
      <c r="D279" s="92"/>
      <c r="E279" s="92"/>
      <c r="F279" s="92"/>
      <c r="G279" s="92"/>
      <c r="H279" s="93"/>
      <c r="I279" s="90"/>
      <c r="J279" s="90"/>
      <c r="M279" s="10"/>
    </row>
    <row r="280" spans="3:13" ht="12.75">
      <c r="C280" s="92"/>
      <c r="D280" s="92"/>
      <c r="E280" s="92"/>
      <c r="F280" s="92"/>
      <c r="G280" s="92"/>
      <c r="H280" s="93"/>
      <c r="I280" s="90"/>
      <c r="J280" s="90"/>
      <c r="M280" s="10"/>
    </row>
    <row r="281" spans="3:13" ht="12.75">
      <c r="C281" s="92"/>
      <c r="D281" s="92"/>
      <c r="E281" s="92"/>
      <c r="F281" s="92"/>
      <c r="G281" s="92"/>
      <c r="H281" s="93"/>
      <c r="I281" s="90"/>
      <c r="J281" s="90"/>
      <c r="M281" s="10"/>
    </row>
    <row r="282" spans="3:13" ht="12.75">
      <c r="C282" s="92"/>
      <c r="D282" s="92"/>
      <c r="E282" s="92"/>
      <c r="F282" s="92"/>
      <c r="G282" s="92"/>
      <c r="H282" s="93"/>
      <c r="I282" s="90"/>
      <c r="J282" s="90"/>
      <c r="M282" s="10"/>
    </row>
    <row r="283" spans="3:13" ht="12.75">
      <c r="C283" s="92"/>
      <c r="D283" s="92"/>
      <c r="E283" s="92"/>
      <c r="F283" s="92"/>
      <c r="G283" s="92"/>
      <c r="H283" s="93"/>
      <c r="I283" s="90"/>
      <c r="J283" s="90"/>
      <c r="M283" s="10"/>
    </row>
    <row r="284" spans="3:13" ht="12.75">
      <c r="C284" s="92"/>
      <c r="D284" s="92"/>
      <c r="E284" s="92"/>
      <c r="F284" s="92"/>
      <c r="G284" s="92"/>
      <c r="H284" s="93"/>
      <c r="I284" s="90"/>
      <c r="J284" s="90"/>
      <c r="M284" s="10"/>
    </row>
    <row r="285" spans="3:13" ht="12.75">
      <c r="C285" s="92"/>
      <c r="D285" s="92"/>
      <c r="E285" s="92"/>
      <c r="F285" s="92"/>
      <c r="G285" s="92"/>
      <c r="H285" s="93"/>
      <c r="I285" s="90"/>
      <c r="J285" s="90"/>
      <c r="M285" s="10"/>
    </row>
    <row r="286" spans="3:13" ht="12.75">
      <c r="C286" s="92"/>
      <c r="D286" s="92"/>
      <c r="E286" s="92"/>
      <c r="F286" s="92"/>
      <c r="G286" s="92"/>
      <c r="H286" s="93"/>
      <c r="I286" s="90"/>
      <c r="J286" s="90"/>
      <c r="M286" s="10"/>
    </row>
    <row r="287" spans="3:13" ht="12.75">
      <c r="C287" s="92"/>
      <c r="D287" s="92"/>
      <c r="E287" s="92"/>
      <c r="F287" s="92"/>
      <c r="G287" s="92"/>
      <c r="H287" s="93"/>
      <c r="I287" s="90"/>
      <c r="J287" s="90"/>
      <c r="M287" s="10"/>
    </row>
    <row r="288" spans="3:13" ht="12.75">
      <c r="C288" s="92"/>
      <c r="D288" s="92"/>
      <c r="E288" s="92"/>
      <c r="F288" s="92"/>
      <c r="G288" s="92"/>
      <c r="H288" s="93"/>
      <c r="I288" s="90"/>
      <c r="J288" s="90"/>
      <c r="M288" s="10"/>
    </row>
    <row r="289" spans="3:13" ht="12.75">
      <c r="C289" s="92"/>
      <c r="D289" s="92"/>
      <c r="E289" s="92"/>
      <c r="F289" s="92"/>
      <c r="G289" s="92"/>
      <c r="H289" s="93"/>
      <c r="I289" s="90"/>
      <c r="J289" s="90"/>
      <c r="M289" s="10"/>
    </row>
    <row r="290" spans="3:13" ht="12.75">
      <c r="C290" s="92"/>
      <c r="D290" s="92"/>
      <c r="E290" s="92"/>
      <c r="F290" s="92"/>
      <c r="G290" s="92"/>
      <c r="H290" s="93"/>
      <c r="I290" s="90"/>
      <c r="J290" s="90"/>
      <c r="M290" s="10"/>
    </row>
    <row r="291" spans="3:13" ht="12.75">
      <c r="C291" s="92"/>
      <c r="D291" s="92"/>
      <c r="E291" s="92"/>
      <c r="F291" s="92"/>
      <c r="G291" s="92"/>
      <c r="H291" s="93"/>
      <c r="I291" s="90"/>
      <c r="J291" s="90"/>
      <c r="M291" s="10"/>
    </row>
    <row r="292" spans="3:13" ht="12.75">
      <c r="C292" s="92"/>
      <c r="D292" s="92"/>
      <c r="E292" s="92"/>
      <c r="F292" s="92"/>
      <c r="G292" s="92"/>
      <c r="H292" s="93"/>
      <c r="I292" s="90"/>
      <c r="J292" s="90"/>
      <c r="M292" s="10"/>
    </row>
    <row r="293" spans="3:13" ht="12.75">
      <c r="C293" s="92"/>
      <c r="D293" s="92"/>
      <c r="E293" s="92"/>
      <c r="F293" s="92"/>
      <c r="G293" s="92"/>
      <c r="H293" s="93"/>
      <c r="I293" s="90"/>
      <c r="J293" s="90"/>
      <c r="M293" s="10"/>
    </row>
    <row r="294" spans="3:13" ht="12.75">
      <c r="C294" s="92"/>
      <c r="D294" s="92"/>
      <c r="E294" s="92"/>
      <c r="F294" s="92"/>
      <c r="G294" s="92"/>
      <c r="H294" s="93"/>
      <c r="I294" s="90"/>
      <c r="J294" s="90"/>
      <c r="M294" s="10"/>
    </row>
    <row r="295" spans="3:13" ht="12.75">
      <c r="C295" s="92"/>
      <c r="D295" s="92"/>
      <c r="E295" s="92"/>
      <c r="F295" s="92"/>
      <c r="G295" s="92"/>
      <c r="H295" s="93"/>
      <c r="I295" s="90"/>
      <c r="J295" s="90"/>
      <c r="M295" s="10"/>
    </row>
    <row r="296" spans="3:13" ht="12.75">
      <c r="C296" s="92"/>
      <c r="D296" s="92"/>
      <c r="E296" s="92"/>
      <c r="F296" s="92"/>
      <c r="G296" s="92"/>
      <c r="H296" s="93"/>
      <c r="I296" s="90"/>
      <c r="J296" s="90"/>
      <c r="M296" s="10"/>
    </row>
    <row r="297" spans="3:13" ht="12.75">
      <c r="C297" s="92"/>
      <c r="D297" s="92"/>
      <c r="E297" s="92"/>
      <c r="F297" s="92"/>
      <c r="G297" s="92"/>
      <c r="H297" s="93"/>
      <c r="I297" s="90"/>
      <c r="J297" s="90"/>
      <c r="M297" s="10"/>
    </row>
    <row r="298" spans="3:13" ht="12.75">
      <c r="C298" s="92"/>
      <c r="D298" s="92"/>
      <c r="E298" s="92"/>
      <c r="F298" s="92"/>
      <c r="G298" s="92"/>
      <c r="H298" s="93"/>
      <c r="I298" s="90"/>
      <c r="J298" s="90"/>
      <c r="M298" s="10"/>
    </row>
    <row r="299" spans="3:13" ht="12.75">
      <c r="C299" s="92"/>
      <c r="D299" s="92"/>
      <c r="E299" s="92"/>
      <c r="F299" s="92"/>
      <c r="G299" s="92"/>
      <c r="H299" s="93"/>
      <c r="I299" s="90"/>
      <c r="J299" s="90"/>
      <c r="M299" s="10"/>
    </row>
    <row r="300" spans="3:13" ht="12.75">
      <c r="C300" s="92"/>
      <c r="D300" s="92"/>
      <c r="E300" s="92"/>
      <c r="F300" s="92"/>
      <c r="G300" s="92"/>
      <c r="H300" s="93"/>
      <c r="I300" s="90"/>
      <c r="J300" s="90"/>
      <c r="M300" s="10"/>
    </row>
    <row r="301" spans="3:13" ht="12.75">
      <c r="C301" s="92"/>
      <c r="D301" s="92"/>
      <c r="E301" s="92"/>
      <c r="F301" s="92"/>
      <c r="G301" s="92"/>
      <c r="H301" s="93"/>
      <c r="I301" s="90"/>
      <c r="J301" s="90"/>
      <c r="M301" s="10"/>
    </row>
    <row r="302" spans="3:13" ht="12.75">
      <c r="C302" s="92"/>
      <c r="D302" s="92"/>
      <c r="E302" s="92"/>
      <c r="F302" s="92"/>
      <c r="G302" s="92"/>
      <c r="H302" s="93"/>
      <c r="I302" s="90"/>
      <c r="J302" s="90"/>
      <c r="M302" s="10"/>
    </row>
    <row r="303" spans="3:13" ht="12.75">
      <c r="C303" s="92"/>
      <c r="D303" s="92"/>
      <c r="E303" s="92"/>
      <c r="F303" s="92"/>
      <c r="G303" s="92"/>
      <c r="H303" s="93"/>
      <c r="I303" s="90"/>
      <c r="J303" s="90"/>
      <c r="M303" s="10"/>
    </row>
    <row r="304" spans="3:13" ht="12.75">
      <c r="C304" s="92"/>
      <c r="D304" s="92"/>
      <c r="E304" s="92"/>
      <c r="F304" s="92"/>
      <c r="G304" s="92"/>
      <c r="H304" s="93"/>
      <c r="I304" s="90"/>
      <c r="J304" s="90"/>
      <c r="M304" s="10"/>
    </row>
    <row r="305" spans="3:13" ht="12.75">
      <c r="C305" s="92"/>
      <c r="D305" s="92"/>
      <c r="E305" s="92"/>
      <c r="F305" s="92"/>
      <c r="G305" s="92"/>
      <c r="H305" s="93"/>
      <c r="I305" s="90"/>
      <c r="J305" s="90"/>
      <c r="M305" s="10"/>
    </row>
    <row r="306" spans="3:13" ht="12.75">
      <c r="C306" s="92"/>
      <c r="D306" s="92"/>
      <c r="E306" s="92"/>
      <c r="F306" s="92"/>
      <c r="G306" s="92"/>
      <c r="H306" s="93"/>
      <c r="I306" s="90"/>
      <c r="J306" s="90"/>
      <c r="M306" s="10"/>
    </row>
    <row r="307" spans="3:13" ht="12.75">
      <c r="C307" s="92"/>
      <c r="D307" s="92"/>
      <c r="E307" s="92"/>
      <c r="F307" s="92"/>
      <c r="G307" s="92"/>
      <c r="H307" s="93"/>
      <c r="I307" s="90"/>
      <c r="J307" s="90"/>
      <c r="M307" s="10"/>
    </row>
    <row r="308" spans="3:13" ht="12.75">
      <c r="C308" s="92"/>
      <c r="D308" s="92"/>
      <c r="E308" s="92"/>
      <c r="F308" s="92"/>
      <c r="G308" s="92"/>
      <c r="H308" s="93"/>
      <c r="I308" s="90"/>
      <c r="J308" s="90"/>
      <c r="M308" s="10"/>
    </row>
    <row r="309" spans="3:13" ht="12.75">
      <c r="C309" s="92"/>
      <c r="D309" s="92"/>
      <c r="E309" s="92"/>
      <c r="F309" s="92"/>
      <c r="G309" s="92"/>
      <c r="H309" s="93"/>
      <c r="I309" s="90"/>
      <c r="J309" s="90"/>
      <c r="M309" s="10"/>
    </row>
    <row r="310" spans="3:13" ht="12.75">
      <c r="C310" s="92"/>
      <c r="D310" s="92"/>
      <c r="E310" s="92"/>
      <c r="F310" s="92"/>
      <c r="G310" s="92"/>
      <c r="H310" s="93"/>
      <c r="I310" s="90"/>
      <c r="J310" s="90"/>
      <c r="M310" s="10"/>
    </row>
    <row r="311" spans="3:13" ht="12.75">
      <c r="C311" s="92"/>
      <c r="D311" s="92"/>
      <c r="E311" s="92"/>
      <c r="F311" s="92"/>
      <c r="G311" s="92"/>
      <c r="H311" s="93"/>
      <c r="I311" s="90"/>
      <c r="J311" s="90"/>
      <c r="M311" s="10"/>
    </row>
    <row r="312" spans="3:13" ht="12.75">
      <c r="C312" s="92"/>
      <c r="D312" s="92"/>
      <c r="E312" s="92"/>
      <c r="F312" s="92"/>
      <c r="G312" s="92"/>
      <c r="H312" s="93"/>
      <c r="I312" s="90"/>
      <c r="J312" s="90"/>
      <c r="M312" s="10"/>
    </row>
    <row r="313" spans="3:13" ht="12.75">
      <c r="C313" s="92"/>
      <c r="D313" s="92"/>
      <c r="E313" s="92"/>
      <c r="F313" s="92"/>
      <c r="G313" s="92"/>
      <c r="H313" s="93"/>
      <c r="I313" s="90"/>
      <c r="J313" s="90"/>
      <c r="M313" s="10"/>
    </row>
    <row r="314" spans="3:13" ht="12.75">
      <c r="C314" s="92"/>
      <c r="D314" s="92"/>
      <c r="E314" s="92"/>
      <c r="F314" s="92"/>
      <c r="G314" s="92"/>
      <c r="H314" s="93"/>
      <c r="I314" s="90"/>
      <c r="J314" s="90"/>
      <c r="M314" s="10"/>
    </row>
    <row r="315" spans="3:13" ht="12.75">
      <c r="C315" s="92"/>
      <c r="D315" s="92"/>
      <c r="E315" s="92"/>
      <c r="F315" s="92"/>
      <c r="G315" s="92"/>
      <c r="H315" s="93"/>
      <c r="I315" s="90"/>
      <c r="J315" s="90"/>
      <c r="M315" s="10"/>
    </row>
    <row r="316" spans="3:13" ht="12.75">
      <c r="C316" s="92"/>
      <c r="D316" s="92"/>
      <c r="E316" s="92"/>
      <c r="F316" s="92"/>
      <c r="G316" s="92"/>
      <c r="H316" s="93"/>
      <c r="I316" s="90"/>
      <c r="J316" s="90"/>
      <c r="M316" s="10"/>
    </row>
    <row r="317" spans="3:13" ht="12.75">
      <c r="C317" s="92"/>
      <c r="D317" s="92"/>
      <c r="E317" s="92"/>
      <c r="F317" s="92"/>
      <c r="G317" s="92"/>
      <c r="H317" s="93"/>
      <c r="I317" s="90"/>
      <c r="J317" s="90"/>
      <c r="M317" s="10"/>
    </row>
    <row r="318" spans="3:13" ht="12.75">
      <c r="C318" s="92"/>
      <c r="D318" s="92"/>
      <c r="E318" s="92"/>
      <c r="F318" s="92"/>
      <c r="G318" s="92"/>
      <c r="H318" s="93"/>
      <c r="I318" s="90"/>
      <c r="J318" s="90"/>
      <c r="M318" s="10"/>
    </row>
    <row r="319" spans="3:13" ht="12.75">
      <c r="C319" s="92"/>
      <c r="D319" s="92"/>
      <c r="E319" s="92"/>
      <c r="F319" s="92"/>
      <c r="G319" s="92"/>
      <c r="H319" s="93"/>
      <c r="I319" s="90"/>
      <c r="J319" s="90"/>
      <c r="M319" s="10"/>
    </row>
    <row r="320" spans="3:13" ht="12.75">
      <c r="C320" s="92"/>
      <c r="D320" s="92"/>
      <c r="E320" s="92"/>
      <c r="F320" s="92"/>
      <c r="G320" s="92"/>
      <c r="H320" s="93"/>
      <c r="I320" s="90"/>
      <c r="J320" s="90"/>
      <c r="M320" s="10"/>
    </row>
    <row r="321" spans="3:13" ht="12.75">
      <c r="C321" s="92"/>
      <c r="D321" s="92"/>
      <c r="E321" s="92"/>
      <c r="F321" s="92"/>
      <c r="G321" s="92"/>
      <c r="H321" s="93"/>
      <c r="I321" s="90"/>
      <c r="J321" s="90"/>
      <c r="M321" s="10"/>
    </row>
    <row r="322" spans="3:13" ht="12.75">
      <c r="C322" s="92"/>
      <c r="D322" s="92"/>
      <c r="E322" s="92"/>
      <c r="F322" s="92"/>
      <c r="G322" s="92"/>
      <c r="H322" s="93"/>
      <c r="I322" s="90"/>
      <c r="J322" s="90"/>
      <c r="M322" s="10"/>
    </row>
    <row r="323" spans="3:13" ht="12.75">
      <c r="C323" s="92"/>
      <c r="D323" s="92"/>
      <c r="E323" s="92"/>
      <c r="F323" s="92"/>
      <c r="G323" s="92"/>
      <c r="H323" s="93"/>
      <c r="I323" s="90"/>
      <c r="J323" s="90"/>
      <c r="M323" s="10"/>
    </row>
    <row r="324" spans="3:13" ht="12.75">
      <c r="C324" s="92"/>
      <c r="D324" s="92"/>
      <c r="E324" s="92"/>
      <c r="F324" s="92"/>
      <c r="G324" s="92"/>
      <c r="H324" s="93"/>
      <c r="I324" s="90"/>
      <c r="J324" s="90"/>
      <c r="M324" s="10"/>
    </row>
    <row r="325" spans="3:13" ht="12.75">
      <c r="C325" s="92"/>
      <c r="D325" s="92"/>
      <c r="E325" s="92"/>
      <c r="F325" s="92"/>
      <c r="G325" s="92"/>
      <c r="H325" s="93"/>
      <c r="I325" s="90"/>
      <c r="J325" s="90"/>
      <c r="M325" s="10"/>
    </row>
    <row r="326" spans="3:13" ht="12.75">
      <c r="C326" s="92"/>
      <c r="D326" s="92"/>
      <c r="E326" s="92"/>
      <c r="F326" s="92"/>
      <c r="G326" s="92"/>
      <c r="H326" s="93"/>
      <c r="I326" s="90"/>
      <c r="J326" s="90"/>
      <c r="M326" s="10"/>
    </row>
    <row r="327" spans="3:13" ht="12.75">
      <c r="C327" s="92"/>
      <c r="D327" s="92"/>
      <c r="E327" s="92"/>
      <c r="F327" s="92"/>
      <c r="G327" s="92"/>
      <c r="H327" s="93"/>
      <c r="I327" s="90"/>
      <c r="J327" s="90"/>
      <c r="M327" s="10"/>
    </row>
    <row r="328" spans="3:13" ht="12.75">
      <c r="C328" s="92"/>
      <c r="D328" s="92"/>
      <c r="E328" s="92"/>
      <c r="F328" s="92"/>
      <c r="G328" s="92"/>
      <c r="H328" s="93"/>
      <c r="I328" s="90"/>
      <c r="J328" s="90"/>
      <c r="M328" s="10"/>
    </row>
    <row r="329" spans="3:13" ht="12.75">
      <c r="C329" s="92"/>
      <c r="D329" s="92"/>
      <c r="E329" s="92"/>
      <c r="F329" s="92"/>
      <c r="G329" s="92"/>
      <c r="H329" s="93"/>
      <c r="I329" s="90"/>
      <c r="J329" s="90"/>
      <c r="M329" s="10"/>
    </row>
    <row r="330" spans="3:13" ht="12.75">
      <c r="C330" s="92"/>
      <c r="D330" s="92"/>
      <c r="E330" s="92"/>
      <c r="F330" s="92"/>
      <c r="G330" s="92"/>
      <c r="H330" s="93"/>
      <c r="I330" s="90"/>
      <c r="J330" s="90"/>
      <c r="M330" s="10"/>
    </row>
    <row r="331" spans="3:13" ht="12.75">
      <c r="C331" s="92"/>
      <c r="D331" s="92"/>
      <c r="E331" s="92"/>
      <c r="F331" s="92"/>
      <c r="G331" s="92"/>
      <c r="H331" s="93"/>
      <c r="I331" s="90"/>
      <c r="J331" s="90"/>
      <c r="M331" s="10"/>
    </row>
    <row r="332" spans="3:13" ht="12.75">
      <c r="C332" s="92"/>
      <c r="D332" s="92"/>
      <c r="E332" s="92"/>
      <c r="F332" s="92"/>
      <c r="G332" s="92"/>
      <c r="H332" s="93"/>
      <c r="I332" s="90"/>
      <c r="J332" s="90"/>
      <c r="M332" s="10"/>
    </row>
    <row r="333" spans="3:13" ht="12.75">
      <c r="C333" s="92"/>
      <c r="D333" s="92"/>
      <c r="E333" s="92"/>
      <c r="F333" s="92"/>
      <c r="G333" s="92"/>
      <c r="H333" s="93"/>
      <c r="I333" s="90"/>
      <c r="J333" s="90"/>
      <c r="M333" s="10"/>
    </row>
    <row r="334" spans="3:13" ht="12.75">
      <c r="C334" s="92"/>
      <c r="D334" s="92"/>
      <c r="E334" s="92"/>
      <c r="F334" s="92"/>
      <c r="G334" s="92"/>
      <c r="H334" s="93"/>
      <c r="I334" s="90"/>
      <c r="J334" s="90"/>
      <c r="M334" s="10"/>
    </row>
    <row r="335" spans="3:13" ht="12.75">
      <c r="C335" s="92"/>
      <c r="D335" s="92"/>
      <c r="E335" s="92"/>
      <c r="F335" s="92"/>
      <c r="G335" s="92"/>
      <c r="H335" s="93"/>
      <c r="I335" s="90"/>
      <c r="J335" s="90"/>
      <c r="M335" s="10"/>
    </row>
    <row r="336" spans="3:13" ht="12.75">
      <c r="C336" s="92"/>
      <c r="D336" s="92"/>
      <c r="E336" s="92"/>
      <c r="F336" s="92"/>
      <c r="G336" s="92"/>
      <c r="H336" s="93"/>
      <c r="I336" s="90"/>
      <c r="J336" s="90"/>
      <c r="M336" s="10"/>
    </row>
    <row r="337" spans="3:13" ht="12.75">
      <c r="C337" s="92"/>
      <c r="D337" s="92"/>
      <c r="E337" s="92"/>
      <c r="F337" s="92"/>
      <c r="G337" s="92"/>
      <c r="H337" s="93"/>
      <c r="I337" s="90"/>
      <c r="J337" s="90"/>
      <c r="M337" s="10"/>
    </row>
    <row r="338" spans="3:13" ht="12.75">
      <c r="C338" s="92"/>
      <c r="D338" s="92"/>
      <c r="E338" s="92"/>
      <c r="F338" s="92"/>
      <c r="G338" s="92"/>
      <c r="H338" s="93"/>
      <c r="I338" s="90"/>
      <c r="J338" s="90"/>
      <c r="M338" s="10"/>
    </row>
    <row r="339" spans="3:13" ht="12.75">
      <c r="C339" s="92"/>
      <c r="D339" s="92"/>
      <c r="E339" s="92"/>
      <c r="F339" s="92"/>
      <c r="G339" s="92"/>
      <c r="H339" s="93"/>
      <c r="I339" s="90"/>
      <c r="J339" s="90"/>
      <c r="M339" s="10"/>
    </row>
    <row r="340" spans="3:13" ht="12.75">
      <c r="C340" s="92"/>
      <c r="D340" s="92"/>
      <c r="E340" s="92"/>
      <c r="F340" s="92"/>
      <c r="G340" s="92"/>
      <c r="H340" s="93"/>
      <c r="I340" s="90"/>
      <c r="J340" s="90"/>
      <c r="M340" s="10"/>
    </row>
    <row r="341" spans="3:13" ht="12.75">
      <c r="C341" s="92"/>
      <c r="D341" s="92"/>
      <c r="E341" s="92"/>
      <c r="F341" s="92"/>
      <c r="G341" s="92"/>
      <c r="H341" s="93"/>
      <c r="I341" s="90"/>
      <c r="J341" s="90"/>
      <c r="M341" s="10"/>
    </row>
    <row r="342" spans="3:13" ht="12.75">
      <c r="C342" s="92"/>
      <c r="D342" s="92"/>
      <c r="E342" s="92"/>
      <c r="F342" s="92"/>
      <c r="G342" s="92"/>
      <c r="H342" s="93"/>
      <c r="I342" s="90"/>
      <c r="J342" s="90"/>
      <c r="M342" s="10"/>
    </row>
    <row r="343" spans="3:13" ht="12.75">
      <c r="C343" s="92"/>
      <c r="D343" s="92"/>
      <c r="E343" s="92"/>
      <c r="F343" s="92"/>
      <c r="G343" s="92"/>
      <c r="H343" s="93"/>
      <c r="I343" s="90"/>
      <c r="J343" s="90"/>
      <c r="M343" s="10"/>
    </row>
    <row r="344" spans="3:13" ht="12.75">
      <c r="C344" s="92"/>
      <c r="D344" s="92"/>
      <c r="E344" s="92"/>
      <c r="F344" s="92"/>
      <c r="G344" s="92"/>
      <c r="H344" s="93"/>
      <c r="I344" s="90"/>
      <c r="J344" s="90"/>
      <c r="M344" s="10"/>
    </row>
    <row r="345" spans="3:13" ht="12.75">
      <c r="C345" s="92"/>
      <c r="D345" s="92"/>
      <c r="E345" s="92"/>
      <c r="F345" s="92"/>
      <c r="G345" s="92"/>
      <c r="H345" s="93"/>
      <c r="I345" s="90"/>
      <c r="J345" s="90"/>
      <c r="M345" s="10"/>
    </row>
    <row r="346" spans="3:13" ht="12.75">
      <c r="C346" s="92"/>
      <c r="D346" s="92"/>
      <c r="E346" s="92"/>
      <c r="F346" s="92"/>
      <c r="G346" s="92"/>
      <c r="H346" s="93"/>
      <c r="I346" s="90"/>
      <c r="J346" s="90"/>
      <c r="M346" s="10"/>
    </row>
    <row r="347" spans="3:13" ht="12.75">
      <c r="C347" s="92"/>
      <c r="D347" s="92"/>
      <c r="E347" s="92"/>
      <c r="F347" s="92"/>
      <c r="G347" s="92"/>
      <c r="H347" s="93"/>
      <c r="I347" s="90"/>
      <c r="J347" s="90"/>
      <c r="M347" s="10"/>
    </row>
    <row r="348" spans="3:13" ht="12.75">
      <c r="C348" s="92"/>
      <c r="D348" s="92"/>
      <c r="E348" s="92"/>
      <c r="F348" s="92"/>
      <c r="G348" s="92"/>
      <c r="H348" s="93"/>
      <c r="I348" s="90"/>
      <c r="J348" s="90"/>
      <c r="M348" s="10"/>
    </row>
    <row r="349" spans="3:13" ht="12.75">
      <c r="C349" s="92"/>
      <c r="D349" s="92"/>
      <c r="E349" s="92"/>
      <c r="F349" s="92"/>
      <c r="G349" s="92"/>
      <c r="H349" s="93"/>
      <c r="I349" s="90"/>
      <c r="J349" s="90"/>
      <c r="M349" s="10"/>
    </row>
    <row r="350" spans="3:13" ht="12.75">
      <c r="C350" s="92"/>
      <c r="D350" s="92"/>
      <c r="E350" s="92"/>
      <c r="F350" s="92"/>
      <c r="G350" s="92"/>
      <c r="H350" s="93"/>
      <c r="I350" s="90"/>
      <c r="J350" s="90"/>
      <c r="M350" s="10"/>
    </row>
    <row r="351" spans="3:13" ht="12.75">
      <c r="C351" s="92"/>
      <c r="D351" s="92"/>
      <c r="E351" s="92"/>
      <c r="F351" s="92"/>
      <c r="G351" s="92"/>
      <c r="H351" s="93"/>
      <c r="I351" s="90"/>
      <c r="J351" s="90"/>
      <c r="M351" s="10"/>
    </row>
    <row r="352" spans="3:13" ht="12.75">
      <c r="C352" s="92"/>
      <c r="D352" s="92"/>
      <c r="E352" s="92"/>
      <c r="F352" s="92"/>
      <c r="G352" s="92"/>
      <c r="H352" s="93"/>
      <c r="I352" s="90"/>
      <c r="J352" s="90"/>
      <c r="M352" s="10"/>
    </row>
    <row r="353" spans="3:13" ht="12.75">
      <c r="C353" s="92"/>
      <c r="D353" s="92"/>
      <c r="E353" s="92"/>
      <c r="F353" s="92"/>
      <c r="G353" s="92"/>
      <c r="H353" s="93"/>
      <c r="I353" s="90"/>
      <c r="J353" s="90"/>
      <c r="M353" s="10"/>
    </row>
    <row r="354" spans="3:13" ht="12.75">
      <c r="C354" s="92"/>
      <c r="D354" s="92"/>
      <c r="E354" s="92"/>
      <c r="F354" s="92"/>
      <c r="G354" s="92"/>
      <c r="H354" s="93"/>
      <c r="I354" s="90"/>
      <c r="J354" s="90"/>
      <c r="M354" s="10"/>
    </row>
    <row r="355" spans="3:13" ht="12.75">
      <c r="C355" s="92"/>
      <c r="D355" s="92"/>
      <c r="E355" s="92"/>
      <c r="F355" s="92"/>
      <c r="G355" s="92"/>
      <c r="H355" s="93"/>
      <c r="I355" s="90"/>
      <c r="J355" s="90"/>
      <c r="M355" s="10"/>
    </row>
    <row r="356" spans="3:13" ht="12.75">
      <c r="C356" s="92"/>
      <c r="D356" s="92"/>
      <c r="E356" s="92"/>
      <c r="F356" s="92"/>
      <c r="G356" s="92"/>
      <c r="H356" s="93"/>
      <c r="I356" s="90"/>
      <c r="J356" s="90"/>
      <c r="M356" s="10"/>
    </row>
    <row r="357" spans="3:13" ht="12.75">
      <c r="C357" s="92"/>
      <c r="D357" s="92"/>
      <c r="E357" s="92"/>
      <c r="F357" s="92"/>
      <c r="G357" s="92"/>
      <c r="H357" s="93"/>
      <c r="I357" s="90"/>
      <c r="J357" s="90"/>
      <c r="M357" s="10"/>
    </row>
    <row r="358" spans="3:13" ht="12.75">
      <c r="C358" s="92"/>
      <c r="D358" s="92"/>
      <c r="E358" s="92"/>
      <c r="F358" s="92"/>
      <c r="G358" s="92"/>
      <c r="H358" s="93"/>
      <c r="I358" s="90"/>
      <c r="J358" s="90"/>
      <c r="M358" s="10"/>
    </row>
    <row r="359" spans="3:13" ht="12.75">
      <c r="C359" s="92"/>
      <c r="D359" s="92"/>
      <c r="E359" s="92"/>
      <c r="F359" s="92"/>
      <c r="G359" s="92"/>
      <c r="H359" s="93"/>
      <c r="I359" s="90"/>
      <c r="J359" s="90"/>
      <c r="M359" s="10"/>
    </row>
    <row r="360" spans="3:13" ht="12.75">
      <c r="C360" s="92"/>
      <c r="D360" s="92"/>
      <c r="E360" s="92"/>
      <c r="F360" s="92"/>
      <c r="G360" s="92"/>
      <c r="H360" s="93"/>
      <c r="I360" s="90"/>
      <c r="J360" s="90"/>
      <c r="M360" s="10"/>
    </row>
    <row r="361" spans="3:13" ht="12.75">
      <c r="C361" s="92"/>
      <c r="D361" s="92"/>
      <c r="E361" s="92"/>
      <c r="F361" s="92"/>
      <c r="G361" s="92"/>
      <c r="H361" s="93"/>
      <c r="I361" s="90"/>
      <c r="J361" s="90"/>
      <c r="M361" s="10"/>
    </row>
    <row r="362" spans="3:13" ht="12.75">
      <c r="C362" s="92"/>
      <c r="D362" s="92"/>
      <c r="E362" s="92"/>
      <c r="F362" s="92"/>
      <c r="G362" s="92"/>
      <c r="H362" s="93"/>
      <c r="I362" s="90"/>
      <c r="J362" s="90"/>
      <c r="M362" s="10"/>
    </row>
    <row r="363" spans="3:13" ht="12.75">
      <c r="C363" s="92"/>
      <c r="D363" s="92"/>
      <c r="E363" s="92"/>
      <c r="F363" s="92"/>
      <c r="G363" s="92"/>
      <c r="H363" s="93"/>
      <c r="I363" s="90"/>
      <c r="J363" s="90"/>
      <c r="M363" s="10"/>
    </row>
    <row r="364" spans="3:13" ht="12.75">
      <c r="C364" s="92"/>
      <c r="D364" s="92"/>
      <c r="E364" s="92"/>
      <c r="F364" s="92"/>
      <c r="G364" s="92"/>
      <c r="H364" s="93"/>
      <c r="I364" s="90"/>
      <c r="J364" s="90"/>
      <c r="M364" s="10"/>
    </row>
    <row r="365" spans="3:13" ht="12.75">
      <c r="C365" s="92"/>
      <c r="D365" s="92"/>
      <c r="E365" s="92"/>
      <c r="F365" s="92"/>
      <c r="G365" s="92"/>
      <c r="H365" s="93"/>
      <c r="I365" s="90"/>
      <c r="J365" s="90"/>
      <c r="M365" s="10"/>
    </row>
    <row r="366" spans="3:13" ht="12.75">
      <c r="C366" s="92"/>
      <c r="D366" s="92"/>
      <c r="E366" s="92"/>
      <c r="F366" s="92"/>
      <c r="G366" s="92"/>
      <c r="H366" s="93"/>
      <c r="I366" s="90"/>
      <c r="J366" s="90"/>
      <c r="M366" s="10"/>
    </row>
    <row r="367" spans="3:13" ht="12.75">
      <c r="C367" s="92"/>
      <c r="D367" s="92"/>
      <c r="E367" s="92"/>
      <c r="F367" s="92"/>
      <c r="G367" s="92"/>
      <c r="H367" s="93"/>
      <c r="I367" s="90"/>
      <c r="J367" s="90"/>
      <c r="M367" s="10"/>
    </row>
    <row r="368" spans="3:13" ht="12.75">
      <c r="C368" s="92"/>
      <c r="D368" s="92"/>
      <c r="E368" s="92"/>
      <c r="F368" s="92"/>
      <c r="G368" s="92"/>
      <c r="H368" s="93"/>
      <c r="I368" s="90"/>
      <c r="J368" s="90"/>
      <c r="M368" s="10"/>
    </row>
    <row r="369" spans="3:13" ht="12.75">
      <c r="C369" s="92"/>
      <c r="D369" s="92"/>
      <c r="E369" s="92"/>
      <c r="F369" s="92"/>
      <c r="G369" s="92"/>
      <c r="H369" s="93"/>
      <c r="I369" s="90"/>
      <c r="J369" s="90"/>
      <c r="M369" s="10"/>
    </row>
    <row r="370" spans="3:13" ht="12.75">
      <c r="C370" s="92"/>
      <c r="D370" s="92"/>
      <c r="E370" s="92"/>
      <c r="F370" s="92"/>
      <c r="G370" s="92"/>
      <c r="H370" s="93"/>
      <c r="I370" s="90"/>
      <c r="J370" s="90"/>
      <c r="M370" s="10"/>
    </row>
    <row r="371" spans="3:13" ht="12.75">
      <c r="C371" s="92"/>
      <c r="D371" s="92"/>
      <c r="E371" s="92"/>
      <c r="F371" s="92"/>
      <c r="G371" s="92"/>
      <c r="H371" s="93"/>
      <c r="I371" s="90"/>
      <c r="J371" s="90"/>
      <c r="M371" s="10"/>
    </row>
    <row r="372" spans="3:13" ht="12.75">
      <c r="C372" s="92"/>
      <c r="D372" s="92"/>
      <c r="E372" s="92"/>
      <c r="F372" s="92"/>
      <c r="G372" s="92"/>
      <c r="H372" s="93"/>
      <c r="I372" s="90"/>
      <c r="J372" s="90"/>
      <c r="M372" s="10"/>
    </row>
    <row r="373" spans="3:13" ht="12.75">
      <c r="C373" s="92"/>
      <c r="D373" s="92"/>
      <c r="E373" s="92"/>
      <c r="F373" s="92"/>
      <c r="G373" s="92"/>
      <c r="H373" s="93"/>
      <c r="I373" s="90"/>
      <c r="J373" s="90"/>
      <c r="M373" s="10"/>
    </row>
    <row r="374" spans="3:13" ht="12.75">
      <c r="C374" s="92"/>
      <c r="D374" s="92"/>
      <c r="E374" s="92"/>
      <c r="F374" s="92"/>
      <c r="G374" s="92"/>
      <c r="H374" s="93"/>
      <c r="I374" s="90"/>
      <c r="J374" s="90"/>
      <c r="M374" s="10"/>
    </row>
    <row r="375" spans="3:13" ht="12.75">
      <c r="C375" s="92"/>
      <c r="D375" s="92"/>
      <c r="E375" s="92"/>
      <c r="F375" s="92"/>
      <c r="G375" s="92"/>
      <c r="H375" s="93"/>
      <c r="I375" s="90"/>
      <c r="J375" s="90"/>
      <c r="M375" s="10"/>
    </row>
    <row r="376" spans="3:13" ht="12.75">
      <c r="C376" s="92"/>
      <c r="D376" s="92"/>
      <c r="E376" s="92"/>
      <c r="F376" s="92"/>
      <c r="G376" s="92"/>
      <c r="H376" s="93"/>
      <c r="I376" s="90"/>
      <c r="J376" s="90"/>
      <c r="M376" s="10"/>
    </row>
    <row r="377" spans="3:13" ht="12.75">
      <c r="C377" s="92"/>
      <c r="D377" s="92"/>
      <c r="E377" s="92"/>
      <c r="F377" s="92"/>
      <c r="G377" s="92"/>
      <c r="H377" s="93"/>
      <c r="I377" s="90"/>
      <c r="J377" s="90"/>
      <c r="M377" s="10"/>
    </row>
    <row r="378" spans="3:13" ht="12.75">
      <c r="C378" s="92"/>
      <c r="D378" s="92"/>
      <c r="E378" s="92"/>
      <c r="F378" s="92"/>
      <c r="G378" s="92"/>
      <c r="H378" s="93"/>
      <c r="I378" s="90"/>
      <c r="J378" s="90"/>
      <c r="M378" s="10"/>
    </row>
    <row r="379" spans="3:13" ht="12.75">
      <c r="C379" s="92"/>
      <c r="D379" s="92"/>
      <c r="E379" s="92"/>
      <c r="F379" s="92"/>
      <c r="G379" s="92"/>
      <c r="H379" s="93"/>
      <c r="I379" s="90"/>
      <c r="J379" s="90"/>
      <c r="M379" s="10"/>
    </row>
    <row r="380" spans="3:13" ht="12.75">
      <c r="C380" s="92"/>
      <c r="D380" s="92"/>
      <c r="E380" s="92"/>
      <c r="F380" s="92"/>
      <c r="G380" s="92"/>
      <c r="H380" s="93"/>
      <c r="I380" s="90"/>
      <c r="J380" s="90"/>
      <c r="M380" s="10"/>
    </row>
    <row r="381" spans="3:13" ht="12.75">
      <c r="C381" s="92"/>
      <c r="D381" s="92"/>
      <c r="E381" s="92"/>
      <c r="F381" s="92"/>
      <c r="G381" s="92"/>
      <c r="H381" s="93"/>
      <c r="I381" s="90"/>
      <c r="J381" s="90"/>
      <c r="M381" s="10"/>
    </row>
    <row r="382" spans="3:13" ht="12.75">
      <c r="C382" s="92"/>
      <c r="D382" s="92"/>
      <c r="E382" s="92"/>
      <c r="F382" s="92"/>
      <c r="G382" s="92"/>
      <c r="H382" s="93"/>
      <c r="I382" s="90"/>
      <c r="J382" s="90"/>
      <c r="M382" s="10"/>
    </row>
    <row r="383" spans="3:13" ht="12.75">
      <c r="C383" s="92"/>
      <c r="D383" s="92"/>
      <c r="E383" s="92"/>
      <c r="F383" s="92"/>
      <c r="G383" s="92"/>
      <c r="H383" s="93"/>
      <c r="I383" s="90"/>
      <c r="J383" s="90"/>
      <c r="M383" s="10"/>
    </row>
    <row r="384" spans="3:13" ht="12.75">
      <c r="C384" s="92"/>
      <c r="D384" s="92"/>
      <c r="E384" s="92"/>
      <c r="F384" s="92"/>
      <c r="G384" s="92"/>
      <c r="H384" s="93"/>
      <c r="I384" s="90"/>
      <c r="J384" s="90"/>
      <c r="M384" s="10"/>
    </row>
    <row r="385" spans="3:13" ht="12.75">
      <c r="C385" s="92"/>
      <c r="D385" s="92"/>
      <c r="E385" s="92"/>
      <c r="F385" s="92"/>
      <c r="G385" s="92"/>
      <c r="H385" s="93"/>
      <c r="I385" s="90"/>
      <c r="J385" s="90"/>
      <c r="M385" s="10"/>
    </row>
    <row r="386" spans="3:13" ht="12.75">
      <c r="C386" s="92"/>
      <c r="D386" s="92"/>
      <c r="E386" s="92"/>
      <c r="F386" s="92"/>
      <c r="G386" s="92"/>
      <c r="H386" s="93"/>
      <c r="I386" s="90"/>
      <c r="J386" s="90"/>
      <c r="M386" s="10"/>
    </row>
    <row r="387" spans="3:13" ht="12.75">
      <c r="C387" s="92"/>
      <c r="D387" s="92"/>
      <c r="E387" s="92"/>
      <c r="F387" s="92"/>
      <c r="G387" s="92"/>
      <c r="H387" s="93"/>
      <c r="I387" s="90"/>
      <c r="J387" s="90"/>
      <c r="M387" s="10"/>
    </row>
    <row r="388" spans="3:13" ht="12.75">
      <c r="C388" s="92"/>
      <c r="D388" s="92"/>
      <c r="E388" s="92"/>
      <c r="F388" s="92"/>
      <c r="G388" s="92"/>
      <c r="H388" s="93"/>
      <c r="I388" s="90"/>
      <c r="J388" s="90"/>
      <c r="M388" s="10"/>
    </row>
    <row r="389" spans="3:13" ht="12.75">
      <c r="C389" s="92"/>
      <c r="D389" s="92"/>
      <c r="E389" s="92"/>
      <c r="F389" s="92"/>
      <c r="G389" s="92"/>
      <c r="H389" s="93"/>
      <c r="I389" s="90"/>
      <c r="J389" s="90"/>
      <c r="M389" s="10"/>
    </row>
    <row r="390" spans="3:13" ht="12.75">
      <c r="C390" s="92"/>
      <c r="D390" s="92"/>
      <c r="E390" s="92"/>
      <c r="F390" s="92"/>
      <c r="G390" s="92"/>
      <c r="H390" s="93"/>
      <c r="I390" s="90"/>
      <c r="J390" s="90"/>
      <c r="M390" s="10"/>
    </row>
    <row r="391" spans="3:13" ht="12.75">
      <c r="C391" s="92"/>
      <c r="D391" s="92"/>
      <c r="E391" s="92"/>
      <c r="F391" s="92"/>
      <c r="G391" s="92"/>
      <c r="H391" s="93"/>
      <c r="I391" s="90"/>
      <c r="J391" s="90"/>
      <c r="M391" s="10"/>
    </row>
    <row r="392" spans="3:13" ht="12.75">
      <c r="C392" s="92"/>
      <c r="D392" s="92"/>
      <c r="E392" s="92"/>
      <c r="F392" s="92"/>
      <c r="G392" s="92"/>
      <c r="H392" s="93"/>
      <c r="I392" s="90"/>
      <c r="J392" s="90"/>
      <c r="M392" s="10"/>
    </row>
    <row r="393" spans="3:13" ht="12.75">
      <c r="C393" s="92"/>
      <c r="D393" s="92"/>
      <c r="E393" s="92"/>
      <c r="F393" s="92"/>
      <c r="G393" s="92"/>
      <c r="H393" s="93"/>
      <c r="I393" s="90"/>
      <c r="J393" s="90"/>
      <c r="M393" s="10"/>
    </row>
    <row r="394" spans="3:13" ht="12.75">
      <c r="C394" s="92"/>
      <c r="D394" s="92"/>
      <c r="E394" s="92"/>
      <c r="F394" s="92"/>
      <c r="G394" s="92"/>
      <c r="H394" s="93"/>
      <c r="I394" s="90"/>
      <c r="J394" s="90"/>
      <c r="M394" s="10"/>
    </row>
    <row r="395" spans="3:13" ht="12.75">
      <c r="C395" s="92"/>
      <c r="D395" s="92"/>
      <c r="E395" s="92"/>
      <c r="F395" s="92"/>
      <c r="G395" s="92"/>
      <c r="H395" s="93"/>
      <c r="I395" s="90"/>
      <c r="J395" s="90"/>
      <c r="M395" s="10"/>
    </row>
    <row r="396" spans="3:13" ht="12.75">
      <c r="C396" s="92"/>
      <c r="D396" s="92"/>
      <c r="E396" s="92"/>
      <c r="F396" s="92"/>
      <c r="G396" s="92"/>
      <c r="H396" s="93"/>
      <c r="I396" s="90"/>
      <c r="J396" s="90"/>
      <c r="M396" s="10"/>
    </row>
    <row r="397" spans="3:13" ht="12.75">
      <c r="C397" s="92"/>
      <c r="D397" s="92"/>
      <c r="E397" s="92"/>
      <c r="F397" s="92"/>
      <c r="G397" s="92"/>
      <c r="H397" s="93"/>
      <c r="I397" s="90"/>
      <c r="J397" s="90"/>
      <c r="M397" s="10"/>
    </row>
    <row r="398" spans="3:13" ht="12.75">
      <c r="C398" s="92"/>
      <c r="D398" s="92"/>
      <c r="E398" s="92"/>
      <c r="F398" s="92"/>
      <c r="G398" s="92"/>
      <c r="H398" s="93"/>
      <c r="I398" s="90"/>
      <c r="J398" s="90"/>
      <c r="M398" s="10"/>
    </row>
    <row r="399" spans="3:13" ht="12.75">
      <c r="C399" s="92"/>
      <c r="D399" s="92"/>
      <c r="E399" s="92"/>
      <c r="F399" s="92"/>
      <c r="G399" s="92"/>
      <c r="H399" s="93"/>
      <c r="I399" s="90"/>
      <c r="J399" s="90"/>
      <c r="M399" s="10"/>
    </row>
    <row r="400" spans="3:13" ht="12.75">
      <c r="C400" s="92"/>
      <c r="D400" s="92"/>
      <c r="E400" s="92"/>
      <c r="F400" s="92"/>
      <c r="G400" s="92"/>
      <c r="H400" s="93"/>
      <c r="I400" s="90"/>
      <c r="J400" s="90"/>
      <c r="M400" s="10"/>
    </row>
    <row r="401" spans="3:13" ht="12.75">
      <c r="C401" s="92"/>
      <c r="D401" s="92"/>
      <c r="E401" s="92"/>
      <c r="F401" s="92"/>
      <c r="G401" s="92"/>
      <c r="H401" s="93"/>
      <c r="I401" s="90"/>
      <c r="J401" s="90"/>
      <c r="M401" s="10"/>
    </row>
    <row r="402" spans="3:13" ht="12.75">
      <c r="C402" s="92"/>
      <c r="D402" s="92"/>
      <c r="E402" s="92"/>
      <c r="F402" s="92"/>
      <c r="G402" s="92"/>
      <c r="H402" s="93"/>
      <c r="I402" s="90"/>
      <c r="J402" s="90"/>
      <c r="M402" s="10"/>
    </row>
    <row r="403" spans="3:13" ht="12.75">
      <c r="C403" s="92"/>
      <c r="D403" s="92"/>
      <c r="E403" s="92"/>
      <c r="F403" s="92"/>
      <c r="G403" s="92"/>
      <c r="H403" s="93"/>
      <c r="I403" s="90"/>
      <c r="J403" s="90"/>
      <c r="M403" s="10"/>
    </row>
    <row r="404" spans="3:13" ht="12.75">
      <c r="C404" s="92"/>
      <c r="D404" s="92"/>
      <c r="E404" s="92"/>
      <c r="F404" s="92"/>
      <c r="G404" s="92"/>
      <c r="H404" s="93"/>
      <c r="I404" s="90"/>
      <c r="J404" s="90"/>
      <c r="M404" s="10"/>
    </row>
    <row r="405" spans="3:13" ht="12.75">
      <c r="C405" s="92"/>
      <c r="D405" s="92"/>
      <c r="E405" s="92"/>
      <c r="F405" s="92"/>
      <c r="G405" s="92"/>
      <c r="H405" s="93"/>
      <c r="I405" s="90"/>
      <c r="J405" s="90"/>
      <c r="M405" s="10"/>
    </row>
    <row r="406" spans="3:13" ht="12.75">
      <c r="C406" s="92"/>
      <c r="D406" s="92"/>
      <c r="E406" s="92"/>
      <c r="F406" s="92"/>
      <c r="G406" s="92"/>
      <c r="H406" s="93"/>
      <c r="I406" s="90"/>
      <c r="J406" s="90"/>
      <c r="M406" s="10"/>
    </row>
    <row r="407" spans="3:13" ht="12.75">
      <c r="C407" s="92"/>
      <c r="D407" s="92"/>
      <c r="E407" s="92"/>
      <c r="F407" s="92"/>
      <c r="G407" s="92"/>
      <c r="H407" s="93"/>
      <c r="I407" s="90"/>
      <c r="J407" s="90"/>
      <c r="M407" s="10"/>
    </row>
    <row r="408" spans="3:13" ht="12.75">
      <c r="C408" s="92"/>
      <c r="D408" s="92"/>
      <c r="E408" s="92"/>
      <c r="F408" s="92"/>
      <c r="G408" s="92"/>
      <c r="H408" s="93"/>
      <c r="I408" s="90"/>
      <c r="J408" s="90"/>
      <c r="M408" s="10"/>
    </row>
    <row r="409" spans="3:13" ht="12.75">
      <c r="C409" s="92"/>
      <c r="D409" s="92"/>
      <c r="E409" s="92"/>
      <c r="F409" s="92"/>
      <c r="G409" s="92"/>
      <c r="H409" s="93"/>
      <c r="I409" s="90"/>
      <c r="J409" s="90"/>
      <c r="M409" s="10"/>
    </row>
    <row r="410" spans="3:13" ht="12.75">
      <c r="C410" s="92"/>
      <c r="D410" s="92"/>
      <c r="E410" s="92"/>
      <c r="F410" s="92"/>
      <c r="G410" s="92"/>
      <c r="H410" s="93"/>
      <c r="I410" s="90"/>
      <c r="J410" s="90"/>
      <c r="M410" s="10"/>
    </row>
    <row r="411" spans="3:13" ht="12.75">
      <c r="C411" s="92"/>
      <c r="D411" s="92"/>
      <c r="E411" s="92"/>
      <c r="F411" s="92"/>
      <c r="G411" s="92"/>
      <c r="H411" s="93"/>
      <c r="I411" s="90"/>
      <c r="J411" s="90"/>
      <c r="M411" s="10"/>
    </row>
    <row r="412" spans="3:13" ht="12.75">
      <c r="C412" s="92"/>
      <c r="D412" s="92"/>
      <c r="E412" s="92"/>
      <c r="F412" s="92"/>
      <c r="G412" s="92"/>
      <c r="H412" s="93"/>
      <c r="I412" s="90"/>
      <c r="J412" s="90"/>
      <c r="M412" s="10"/>
    </row>
    <row r="413" spans="3:13" ht="12.75">
      <c r="C413" s="92"/>
      <c r="D413" s="92"/>
      <c r="E413" s="92"/>
      <c r="F413" s="92"/>
      <c r="G413" s="92"/>
      <c r="H413" s="93"/>
      <c r="I413" s="90"/>
      <c r="J413" s="90"/>
      <c r="M413" s="10"/>
    </row>
    <row r="414" spans="3:13" ht="12.75">
      <c r="C414" s="92"/>
      <c r="D414" s="92"/>
      <c r="E414" s="92"/>
      <c r="F414" s="92"/>
      <c r="G414" s="92"/>
      <c r="H414" s="93"/>
      <c r="I414" s="90"/>
      <c r="J414" s="90"/>
      <c r="M414" s="10"/>
    </row>
    <row r="415" spans="3:13" ht="12.75">
      <c r="C415" s="92"/>
      <c r="D415" s="92"/>
      <c r="E415" s="92"/>
      <c r="F415" s="92"/>
      <c r="G415" s="92"/>
      <c r="H415" s="93"/>
      <c r="I415" s="90"/>
      <c r="J415" s="90"/>
      <c r="M415" s="10"/>
    </row>
    <row r="416" spans="3:13" ht="12.75">
      <c r="C416" s="92"/>
      <c r="D416" s="92"/>
      <c r="E416" s="92"/>
      <c r="F416" s="92"/>
      <c r="G416" s="92"/>
      <c r="H416" s="93"/>
      <c r="I416" s="90"/>
      <c r="J416" s="90"/>
      <c r="M416" s="10"/>
    </row>
    <row r="417" spans="3:13" ht="12.75">
      <c r="C417" s="92"/>
      <c r="D417" s="92"/>
      <c r="E417" s="92"/>
      <c r="F417" s="92"/>
      <c r="G417" s="92"/>
      <c r="H417" s="93"/>
      <c r="I417" s="90"/>
      <c r="J417" s="90"/>
      <c r="M417" s="10"/>
    </row>
    <row r="418" spans="3:13" ht="12.75">
      <c r="C418" s="92"/>
      <c r="D418" s="92"/>
      <c r="E418" s="92"/>
      <c r="F418" s="92"/>
      <c r="G418" s="92"/>
      <c r="H418" s="93"/>
      <c r="I418" s="90"/>
      <c r="J418" s="90"/>
      <c r="M418" s="10"/>
    </row>
    <row r="419" spans="3:13" ht="12.75">
      <c r="C419" s="92"/>
      <c r="D419" s="92"/>
      <c r="E419" s="92"/>
      <c r="F419" s="92"/>
      <c r="G419" s="92"/>
      <c r="H419" s="93"/>
      <c r="I419" s="90"/>
      <c r="J419" s="90"/>
      <c r="M419" s="10"/>
    </row>
    <row r="420" spans="3:13" ht="12.75">
      <c r="C420" s="92"/>
      <c r="D420" s="92"/>
      <c r="E420" s="92"/>
      <c r="F420" s="92"/>
      <c r="G420" s="92"/>
      <c r="H420" s="93"/>
      <c r="I420" s="90"/>
      <c r="J420" s="90"/>
      <c r="M420" s="10"/>
    </row>
    <row r="421" spans="3:13" ht="12.75">
      <c r="C421" s="92"/>
      <c r="D421" s="92"/>
      <c r="E421" s="92"/>
      <c r="F421" s="92"/>
      <c r="G421" s="92"/>
      <c r="H421" s="93"/>
      <c r="I421" s="90"/>
      <c r="J421" s="90"/>
      <c r="M421" s="10"/>
    </row>
    <row r="422" spans="3:13" ht="12.75">
      <c r="C422" s="92"/>
      <c r="D422" s="92"/>
      <c r="E422" s="92"/>
      <c r="F422" s="92"/>
      <c r="G422" s="92"/>
      <c r="H422" s="93"/>
      <c r="I422" s="90"/>
      <c r="J422" s="90"/>
      <c r="M422" s="10"/>
    </row>
    <row r="423" spans="3:13" ht="12.75">
      <c r="C423" s="92"/>
      <c r="D423" s="92"/>
      <c r="E423" s="92"/>
      <c r="F423" s="92"/>
      <c r="G423" s="92"/>
      <c r="H423" s="93"/>
      <c r="I423" s="90"/>
      <c r="J423" s="90"/>
      <c r="M423" s="10"/>
    </row>
    <row r="424" spans="3:13" ht="12.75">
      <c r="C424" s="92"/>
      <c r="D424" s="92"/>
      <c r="E424" s="92"/>
      <c r="F424" s="92"/>
      <c r="G424" s="92"/>
      <c r="H424" s="93"/>
      <c r="I424" s="90"/>
      <c r="J424" s="90"/>
      <c r="M424" s="10"/>
    </row>
    <row r="425" spans="3:13" ht="12.75">
      <c r="C425" s="92"/>
      <c r="D425" s="92"/>
      <c r="E425" s="92"/>
      <c r="F425" s="92"/>
      <c r="G425" s="92"/>
      <c r="H425" s="93"/>
      <c r="I425" s="90"/>
      <c r="J425" s="90"/>
      <c r="M425" s="10"/>
    </row>
    <row r="426" spans="3:13" ht="12.75">
      <c r="C426" s="92"/>
      <c r="D426" s="92"/>
      <c r="E426" s="92"/>
      <c r="F426" s="92"/>
      <c r="G426" s="92"/>
      <c r="H426" s="93"/>
      <c r="I426" s="90"/>
      <c r="J426" s="90"/>
      <c r="M426" s="10"/>
    </row>
    <row r="427" spans="3:13" ht="12.75">
      <c r="C427" s="92"/>
      <c r="D427" s="92"/>
      <c r="E427" s="92"/>
      <c r="F427" s="92"/>
      <c r="G427" s="92"/>
      <c r="H427" s="93"/>
      <c r="I427" s="90"/>
      <c r="J427" s="90"/>
      <c r="M427" s="10"/>
    </row>
    <row r="428" spans="3:13" ht="12.75">
      <c r="C428" s="92"/>
      <c r="D428" s="92"/>
      <c r="E428" s="92"/>
      <c r="F428" s="92"/>
      <c r="G428" s="92"/>
      <c r="H428" s="93"/>
      <c r="I428" s="90"/>
      <c r="J428" s="90"/>
      <c r="M428" s="10"/>
    </row>
    <row r="429" spans="3:13" ht="12.75">
      <c r="C429" s="92"/>
      <c r="D429" s="92"/>
      <c r="E429" s="92"/>
      <c r="F429" s="92"/>
      <c r="G429" s="92"/>
      <c r="H429" s="93"/>
      <c r="I429" s="90"/>
      <c r="J429" s="90"/>
      <c r="M429" s="10"/>
    </row>
    <row r="430" spans="3:13" ht="12.75">
      <c r="C430" s="92"/>
      <c r="D430" s="92"/>
      <c r="E430" s="92"/>
      <c r="F430" s="92"/>
      <c r="G430" s="92"/>
      <c r="H430" s="93"/>
      <c r="I430" s="90"/>
      <c r="J430" s="90"/>
      <c r="M430" s="10"/>
    </row>
    <row r="431" spans="3:13" ht="12.75">
      <c r="C431" s="92"/>
      <c r="D431" s="92"/>
      <c r="E431" s="92"/>
      <c r="F431" s="92"/>
      <c r="G431" s="92"/>
      <c r="H431" s="93"/>
      <c r="I431" s="90"/>
      <c r="J431" s="90"/>
      <c r="M431" s="10"/>
    </row>
    <row r="432" spans="3:13" ht="12.75">
      <c r="C432" s="92"/>
      <c r="D432" s="92"/>
      <c r="E432" s="92"/>
      <c r="F432" s="92"/>
      <c r="G432" s="92"/>
      <c r="H432" s="93"/>
      <c r="I432" s="90"/>
      <c r="J432" s="90"/>
      <c r="M432" s="10"/>
    </row>
    <row r="433" spans="3:13" ht="12.75">
      <c r="C433" s="92"/>
      <c r="D433" s="92"/>
      <c r="E433" s="92"/>
      <c r="F433" s="92"/>
      <c r="G433" s="92"/>
      <c r="H433" s="93"/>
      <c r="I433" s="90"/>
      <c r="J433" s="90"/>
      <c r="M433" s="10"/>
    </row>
    <row r="434" spans="3:13" ht="12.75">
      <c r="C434" s="92"/>
      <c r="D434" s="92"/>
      <c r="E434" s="92"/>
      <c r="F434" s="92"/>
      <c r="G434" s="92"/>
      <c r="H434" s="93"/>
      <c r="I434" s="90"/>
      <c r="J434" s="90"/>
      <c r="M434" s="10"/>
    </row>
    <row r="435" spans="3:13" ht="12.75">
      <c r="C435" s="92"/>
      <c r="D435" s="92"/>
      <c r="E435" s="92"/>
      <c r="F435" s="92"/>
      <c r="G435" s="92"/>
      <c r="H435" s="93"/>
      <c r="I435" s="90"/>
      <c r="J435" s="90"/>
      <c r="M435" s="10"/>
    </row>
    <row r="436" spans="3:13" ht="12.75">
      <c r="C436" s="92"/>
      <c r="D436" s="92"/>
      <c r="E436" s="92"/>
      <c r="F436" s="92"/>
      <c r="G436" s="92"/>
      <c r="H436" s="93"/>
      <c r="I436" s="90"/>
      <c r="J436" s="90"/>
      <c r="M436" s="10"/>
    </row>
    <row r="437" spans="3:13" ht="12.75">
      <c r="C437" s="92"/>
      <c r="D437" s="92"/>
      <c r="E437" s="92"/>
      <c r="F437" s="92"/>
      <c r="G437" s="92"/>
      <c r="H437" s="93"/>
      <c r="I437" s="90"/>
      <c r="J437" s="90"/>
      <c r="M437" s="10"/>
    </row>
    <row r="438" spans="3:13" ht="12.75">
      <c r="C438" s="92"/>
      <c r="D438" s="92"/>
      <c r="E438" s="92"/>
      <c r="F438" s="92"/>
      <c r="G438" s="92"/>
      <c r="H438" s="93"/>
      <c r="I438" s="90"/>
      <c r="J438" s="90"/>
      <c r="M438" s="10"/>
    </row>
    <row r="439" spans="3:13" ht="12.75">
      <c r="C439" s="92"/>
      <c r="D439" s="92"/>
      <c r="E439" s="92"/>
      <c r="F439" s="92"/>
      <c r="G439" s="92"/>
      <c r="H439" s="93"/>
      <c r="I439" s="90"/>
      <c r="J439" s="90"/>
      <c r="M439" s="10"/>
    </row>
    <row r="440" spans="3:13" ht="12.75">
      <c r="C440" s="92"/>
      <c r="D440" s="92"/>
      <c r="E440" s="92"/>
      <c r="F440" s="92"/>
      <c r="G440" s="92"/>
      <c r="H440" s="93"/>
      <c r="I440" s="90"/>
      <c r="J440" s="90"/>
      <c r="M440" s="10"/>
    </row>
    <row r="441" spans="3:13" ht="12.75">
      <c r="C441" s="92"/>
      <c r="D441" s="92"/>
      <c r="E441" s="92"/>
      <c r="F441" s="92"/>
      <c r="G441" s="92"/>
      <c r="H441" s="93"/>
      <c r="I441" s="90"/>
      <c r="J441" s="90"/>
      <c r="M441" s="10"/>
    </row>
    <row r="442" spans="3:13" ht="12.75">
      <c r="C442" s="92"/>
      <c r="D442" s="92"/>
      <c r="E442" s="92"/>
      <c r="F442" s="92"/>
      <c r="G442" s="92"/>
      <c r="H442" s="93"/>
      <c r="I442" s="90"/>
      <c r="J442" s="90"/>
      <c r="M442" s="10"/>
    </row>
    <row r="443" spans="3:13" ht="12.75">
      <c r="C443" s="92"/>
      <c r="D443" s="92"/>
      <c r="E443" s="92"/>
      <c r="F443" s="92"/>
      <c r="G443" s="92"/>
      <c r="H443" s="93"/>
      <c r="I443" s="90"/>
      <c r="J443" s="90"/>
      <c r="M443" s="10"/>
    </row>
    <row r="444" spans="3:13" ht="12.75">
      <c r="C444" s="92"/>
      <c r="D444" s="92"/>
      <c r="E444" s="92"/>
      <c r="F444" s="92"/>
      <c r="G444" s="92"/>
      <c r="H444" s="93"/>
      <c r="I444" s="90"/>
      <c r="J444" s="90"/>
      <c r="M444" s="10"/>
    </row>
    <row r="445" spans="3:13" ht="12.75">
      <c r="C445" s="92"/>
      <c r="D445" s="92"/>
      <c r="E445" s="92"/>
      <c r="F445" s="92"/>
      <c r="G445" s="92"/>
      <c r="H445" s="93"/>
      <c r="I445" s="90"/>
      <c r="J445" s="90"/>
      <c r="M445" s="10"/>
    </row>
    <row r="446" spans="3:13" ht="12.75">
      <c r="C446" s="92"/>
      <c r="D446" s="92"/>
      <c r="E446" s="92"/>
      <c r="F446" s="92"/>
      <c r="G446" s="92"/>
      <c r="H446" s="93"/>
      <c r="I446" s="90"/>
      <c r="J446" s="90"/>
      <c r="M446" s="10"/>
    </row>
    <row r="447" spans="3:13" ht="12.75">
      <c r="C447" s="92"/>
      <c r="D447" s="92"/>
      <c r="E447" s="92"/>
      <c r="F447" s="92"/>
      <c r="G447" s="92"/>
      <c r="H447" s="93"/>
      <c r="I447" s="90"/>
      <c r="J447" s="90"/>
      <c r="M447" s="10"/>
    </row>
    <row r="448" spans="3:13" ht="12.75">
      <c r="C448" s="92"/>
      <c r="D448" s="92"/>
      <c r="E448" s="92"/>
      <c r="F448" s="92"/>
      <c r="G448" s="92"/>
      <c r="H448" s="93"/>
      <c r="I448" s="90"/>
      <c r="J448" s="90"/>
      <c r="M448" s="10"/>
    </row>
    <row r="449" spans="3:13" ht="12.75">
      <c r="C449" s="92"/>
      <c r="D449" s="92"/>
      <c r="E449" s="92"/>
      <c r="F449" s="92"/>
      <c r="G449" s="92"/>
      <c r="H449" s="93"/>
      <c r="I449" s="90"/>
      <c r="J449" s="90"/>
      <c r="M449" s="10"/>
    </row>
    <row r="450" spans="3:13" ht="12.75">
      <c r="C450" s="92"/>
      <c r="D450" s="92"/>
      <c r="E450" s="92"/>
      <c r="F450" s="92"/>
      <c r="G450" s="92"/>
      <c r="H450" s="93"/>
      <c r="I450" s="90"/>
      <c r="J450" s="90"/>
      <c r="M450" s="10"/>
    </row>
    <row r="451" spans="3:13" ht="12.75">
      <c r="C451" s="92"/>
      <c r="D451" s="92"/>
      <c r="E451" s="92"/>
      <c r="F451" s="92"/>
      <c r="G451" s="92"/>
      <c r="H451" s="93"/>
      <c r="I451" s="90"/>
      <c r="J451" s="90"/>
      <c r="M451" s="10"/>
    </row>
    <row r="452" spans="3:13" ht="12.75">
      <c r="C452" s="92"/>
      <c r="D452" s="92"/>
      <c r="E452" s="92"/>
      <c r="F452" s="92"/>
      <c r="G452" s="92"/>
      <c r="H452" s="93"/>
      <c r="I452" s="90"/>
      <c r="J452" s="90"/>
      <c r="M452" s="10"/>
    </row>
    <row r="453" spans="3:13" ht="12.75">
      <c r="C453" s="92"/>
      <c r="D453" s="92"/>
      <c r="E453" s="92"/>
      <c r="F453" s="92"/>
      <c r="G453" s="92"/>
      <c r="H453" s="93"/>
      <c r="I453" s="90"/>
      <c r="J453" s="90"/>
      <c r="M453" s="10"/>
    </row>
    <row r="454" spans="3:13" ht="12.75">
      <c r="C454" s="92"/>
      <c r="D454" s="92"/>
      <c r="E454" s="92"/>
      <c r="F454" s="92"/>
      <c r="G454" s="92"/>
      <c r="H454" s="93"/>
      <c r="I454" s="90"/>
      <c r="J454" s="90"/>
      <c r="M454" s="10"/>
    </row>
    <row r="455" spans="3:13" ht="12.75">
      <c r="C455" s="92"/>
      <c r="D455" s="92"/>
      <c r="E455" s="92"/>
      <c r="F455" s="92"/>
      <c r="G455" s="92"/>
      <c r="H455" s="93"/>
      <c r="I455" s="90"/>
      <c r="J455" s="90"/>
      <c r="M455" s="10"/>
    </row>
    <row r="456" spans="3:13" ht="12.75">
      <c r="C456" s="92"/>
      <c r="D456" s="92"/>
      <c r="E456" s="92"/>
      <c r="F456" s="92"/>
      <c r="G456" s="92"/>
      <c r="H456" s="93"/>
      <c r="I456" s="90"/>
      <c r="J456" s="90"/>
      <c r="M456" s="10"/>
    </row>
    <row r="457" spans="3:13" ht="12.75">
      <c r="C457" s="92"/>
      <c r="D457" s="92"/>
      <c r="E457" s="92"/>
      <c r="F457" s="92"/>
      <c r="G457" s="92"/>
      <c r="H457" s="93"/>
      <c r="I457" s="90"/>
      <c r="J457" s="90"/>
      <c r="M457" s="10"/>
    </row>
    <row r="458" spans="3:13" ht="12.75">
      <c r="C458" s="92"/>
      <c r="D458" s="92"/>
      <c r="E458" s="92"/>
      <c r="F458" s="92"/>
      <c r="G458" s="92"/>
      <c r="H458" s="93"/>
      <c r="I458" s="90"/>
      <c r="J458" s="90"/>
      <c r="M458" s="10"/>
    </row>
    <row r="459" spans="3:13" ht="12.75">
      <c r="C459" s="92"/>
      <c r="D459" s="92"/>
      <c r="E459" s="92"/>
      <c r="F459" s="92"/>
      <c r="G459" s="92"/>
      <c r="H459" s="93"/>
      <c r="I459" s="90"/>
      <c r="J459" s="90"/>
      <c r="M459" s="10"/>
    </row>
    <row r="460" spans="3:13" ht="12.75">
      <c r="C460" s="92"/>
      <c r="D460" s="92"/>
      <c r="E460" s="92"/>
      <c r="F460" s="92"/>
      <c r="G460" s="92"/>
      <c r="H460" s="93"/>
      <c r="I460" s="90"/>
      <c r="J460" s="90"/>
      <c r="M460" s="10"/>
    </row>
    <row r="461" spans="3:13" ht="12.75">
      <c r="C461" s="92"/>
      <c r="D461" s="92"/>
      <c r="E461" s="92"/>
      <c r="F461" s="92"/>
      <c r="G461" s="92"/>
      <c r="H461" s="93"/>
      <c r="I461" s="90"/>
      <c r="J461" s="90"/>
      <c r="M461" s="10"/>
    </row>
    <row r="462" spans="3:13" ht="12.75">
      <c r="C462" s="92"/>
      <c r="D462" s="92"/>
      <c r="E462" s="92"/>
      <c r="F462" s="92"/>
      <c r="G462" s="92"/>
      <c r="H462" s="93"/>
      <c r="I462" s="90"/>
      <c r="J462" s="90"/>
      <c r="M462" s="10"/>
    </row>
    <row r="463" spans="3:13" ht="12.75">
      <c r="C463" s="92"/>
      <c r="D463" s="92"/>
      <c r="E463" s="92"/>
      <c r="F463" s="92"/>
      <c r="G463" s="92"/>
      <c r="H463" s="93"/>
      <c r="I463" s="90"/>
      <c r="J463" s="90"/>
      <c r="M463" s="10"/>
    </row>
    <row r="464" spans="3:13" ht="12.75">
      <c r="C464" s="92"/>
      <c r="D464" s="92"/>
      <c r="E464" s="92"/>
      <c r="F464" s="92"/>
      <c r="G464" s="92"/>
      <c r="H464" s="93"/>
      <c r="I464" s="90"/>
      <c r="J464" s="90"/>
      <c r="M464" s="10"/>
    </row>
    <row r="465" spans="3:13" ht="12.75">
      <c r="C465" s="92"/>
      <c r="D465" s="92"/>
      <c r="E465" s="92"/>
      <c r="F465" s="92"/>
      <c r="G465" s="92"/>
      <c r="H465" s="93"/>
      <c r="I465" s="90"/>
      <c r="J465" s="90"/>
      <c r="M465" s="10"/>
    </row>
    <row r="466" spans="3:13" ht="12.75">
      <c r="C466" s="92"/>
      <c r="D466" s="92"/>
      <c r="E466" s="92"/>
      <c r="F466" s="92"/>
      <c r="G466" s="92"/>
      <c r="H466" s="93"/>
      <c r="I466" s="90"/>
      <c r="J466" s="90"/>
      <c r="M466" s="10"/>
    </row>
    <row r="467" spans="3:13" ht="12.75">
      <c r="C467" s="92"/>
      <c r="D467" s="92"/>
      <c r="E467" s="92"/>
      <c r="F467" s="92"/>
      <c r="G467" s="92"/>
      <c r="H467" s="93"/>
      <c r="I467" s="90"/>
      <c r="J467" s="90"/>
      <c r="M467" s="10"/>
    </row>
    <row r="468" spans="3:13" ht="12.75">
      <c r="C468" s="92"/>
      <c r="D468" s="92"/>
      <c r="E468" s="92"/>
      <c r="F468" s="92"/>
      <c r="G468" s="92"/>
      <c r="H468" s="93"/>
      <c r="I468" s="90"/>
      <c r="J468" s="90"/>
      <c r="M468" s="10"/>
    </row>
    <row r="469" spans="3:13" ht="12.75">
      <c r="C469" s="92"/>
      <c r="D469" s="92"/>
      <c r="E469" s="92"/>
      <c r="F469" s="92"/>
      <c r="G469" s="92"/>
      <c r="H469" s="93"/>
      <c r="I469" s="90"/>
      <c r="J469" s="90"/>
      <c r="M469" s="10"/>
    </row>
    <row r="470" spans="3:13" ht="12.75">
      <c r="C470" s="92"/>
      <c r="D470" s="92"/>
      <c r="E470" s="92"/>
      <c r="F470" s="92"/>
      <c r="G470" s="92"/>
      <c r="H470" s="93"/>
      <c r="I470" s="90"/>
      <c r="J470" s="90"/>
      <c r="M470" s="10"/>
    </row>
    <row r="471" spans="3:13" ht="12.75">
      <c r="C471" s="92"/>
      <c r="D471" s="92"/>
      <c r="E471" s="92"/>
      <c r="F471" s="92"/>
      <c r="G471" s="92"/>
      <c r="H471" s="93"/>
      <c r="I471" s="90"/>
      <c r="J471" s="90"/>
      <c r="M471" s="10"/>
    </row>
    <row r="472" spans="3:13" ht="12.75">
      <c r="C472" s="92"/>
      <c r="D472" s="92"/>
      <c r="E472" s="92"/>
      <c r="F472" s="92"/>
      <c r="G472" s="92"/>
      <c r="H472" s="93"/>
      <c r="I472" s="90"/>
      <c r="J472" s="90"/>
      <c r="M472" s="10"/>
    </row>
    <row r="473" spans="3:13" ht="12.75">
      <c r="C473" s="92"/>
      <c r="D473" s="92"/>
      <c r="E473" s="92"/>
      <c r="F473" s="92"/>
      <c r="G473" s="92"/>
      <c r="H473" s="93"/>
      <c r="I473" s="90"/>
      <c r="J473" s="90"/>
      <c r="M473" s="10"/>
    </row>
    <row r="474" spans="3:13" ht="12.75">
      <c r="C474" s="92"/>
      <c r="D474" s="92"/>
      <c r="E474" s="92"/>
      <c r="F474" s="92"/>
      <c r="G474" s="92"/>
      <c r="H474" s="93"/>
      <c r="I474" s="90"/>
      <c r="J474" s="90"/>
      <c r="M474" s="10"/>
    </row>
    <row r="475" spans="3:13" ht="12.75">
      <c r="C475" s="92"/>
      <c r="D475" s="92"/>
      <c r="E475" s="92"/>
      <c r="F475" s="92"/>
      <c r="G475" s="92"/>
      <c r="H475" s="93"/>
      <c r="I475" s="90"/>
      <c r="J475" s="90"/>
      <c r="M475" s="10"/>
    </row>
    <row r="476" spans="3:13" ht="12.75">
      <c r="C476" s="92"/>
      <c r="D476" s="92"/>
      <c r="E476" s="92"/>
      <c r="F476" s="92"/>
      <c r="G476" s="92"/>
      <c r="H476" s="93"/>
      <c r="I476" s="90"/>
      <c r="J476" s="90"/>
      <c r="M476" s="10"/>
    </row>
    <row r="477" spans="3:13" ht="12.75">
      <c r="C477" s="92"/>
      <c r="D477" s="92"/>
      <c r="E477" s="92"/>
      <c r="F477" s="92"/>
      <c r="G477" s="92"/>
      <c r="H477" s="93"/>
      <c r="I477" s="90"/>
      <c r="J477" s="90"/>
      <c r="M477" s="10"/>
    </row>
    <row r="478" spans="3:13" ht="12.75">
      <c r="C478" s="92"/>
      <c r="D478" s="92"/>
      <c r="E478" s="92"/>
      <c r="F478" s="92"/>
      <c r="G478" s="92"/>
      <c r="H478" s="93"/>
      <c r="I478" s="90"/>
      <c r="J478" s="90"/>
      <c r="M478" s="10"/>
    </row>
    <row r="479" spans="3:13" ht="12.75">
      <c r="C479" s="92"/>
      <c r="D479" s="92"/>
      <c r="E479" s="92"/>
      <c r="F479" s="92"/>
      <c r="G479" s="92"/>
      <c r="H479" s="93"/>
      <c r="I479" s="90"/>
      <c r="J479" s="90"/>
      <c r="M479" s="10"/>
    </row>
    <row r="480" spans="3:13" ht="12.75">
      <c r="C480" s="92"/>
      <c r="D480" s="92"/>
      <c r="E480" s="92"/>
      <c r="F480" s="92"/>
      <c r="G480" s="92"/>
      <c r="H480" s="93"/>
      <c r="I480" s="90"/>
      <c r="J480" s="90"/>
      <c r="M480" s="10"/>
    </row>
    <row r="481" spans="3:13" ht="12.75">
      <c r="C481" s="92"/>
      <c r="D481" s="92"/>
      <c r="E481" s="92"/>
      <c r="F481" s="92"/>
      <c r="G481" s="92"/>
      <c r="H481" s="93"/>
      <c r="I481" s="90"/>
      <c r="J481" s="90"/>
      <c r="M481" s="10"/>
    </row>
    <row r="482" spans="3:13" ht="12.75">
      <c r="C482" s="92"/>
      <c r="D482" s="92"/>
      <c r="E482" s="92"/>
      <c r="F482" s="92"/>
      <c r="G482" s="92"/>
      <c r="H482" s="93"/>
      <c r="I482" s="90"/>
      <c r="J482" s="90"/>
      <c r="M482" s="10"/>
    </row>
    <row r="483" spans="3:13" ht="12.75">
      <c r="C483" s="92"/>
      <c r="D483" s="92"/>
      <c r="E483" s="92"/>
      <c r="F483" s="92"/>
      <c r="G483" s="92"/>
      <c r="H483" s="93"/>
      <c r="I483" s="90"/>
      <c r="J483" s="90"/>
      <c r="M483" s="10"/>
    </row>
    <row r="484" spans="3:13" ht="12.75">
      <c r="C484" s="92"/>
      <c r="D484" s="92"/>
      <c r="E484" s="92"/>
      <c r="F484" s="92"/>
      <c r="G484" s="92"/>
      <c r="H484" s="93"/>
      <c r="I484" s="90"/>
      <c r="J484" s="90"/>
      <c r="M484" s="10"/>
    </row>
    <row r="485" spans="3:13" ht="12.75">
      <c r="C485" s="92"/>
      <c r="D485" s="92"/>
      <c r="E485" s="92"/>
      <c r="F485" s="92"/>
      <c r="G485" s="92"/>
      <c r="H485" s="93"/>
      <c r="I485" s="90"/>
      <c r="J485" s="90"/>
      <c r="M485" s="10"/>
    </row>
    <row r="486" spans="3:13" ht="12.75">
      <c r="C486" s="92"/>
      <c r="D486" s="92"/>
      <c r="E486" s="92"/>
      <c r="F486" s="92"/>
      <c r="G486" s="92"/>
      <c r="H486" s="93"/>
      <c r="I486" s="90"/>
      <c r="J486" s="90"/>
      <c r="M486" s="10"/>
    </row>
    <row r="487" spans="3:13" ht="12.75">
      <c r="C487" s="92"/>
      <c r="D487" s="92"/>
      <c r="E487" s="92"/>
      <c r="F487" s="92"/>
      <c r="G487" s="92"/>
      <c r="H487" s="93"/>
      <c r="I487" s="90"/>
      <c r="J487" s="90"/>
      <c r="M487" s="10"/>
    </row>
    <row r="488" spans="3:13" ht="12.75">
      <c r="C488" s="92"/>
      <c r="D488" s="92"/>
      <c r="E488" s="92"/>
      <c r="F488" s="92"/>
      <c r="G488" s="92"/>
      <c r="H488" s="93"/>
      <c r="I488" s="90"/>
      <c r="J488" s="90"/>
      <c r="M488" s="10"/>
    </row>
    <row r="489" spans="3:13" ht="12.75">
      <c r="C489" s="92"/>
      <c r="D489" s="92"/>
      <c r="E489" s="92"/>
      <c r="F489" s="92"/>
      <c r="G489" s="92"/>
      <c r="H489" s="93"/>
      <c r="I489" s="90"/>
      <c r="J489" s="90"/>
      <c r="M489" s="10"/>
    </row>
    <row r="490" spans="3:13" ht="12.75">
      <c r="C490" s="92"/>
      <c r="D490" s="92"/>
      <c r="E490" s="92"/>
      <c r="F490" s="92"/>
      <c r="G490" s="92"/>
      <c r="H490" s="93"/>
      <c r="I490" s="90"/>
      <c r="J490" s="90"/>
      <c r="M490" s="10"/>
    </row>
    <row r="491" spans="3:13" ht="12.75">
      <c r="C491" s="92"/>
      <c r="D491" s="92"/>
      <c r="E491" s="92"/>
      <c r="F491" s="92"/>
      <c r="G491" s="92"/>
      <c r="H491" s="93"/>
      <c r="I491" s="90"/>
      <c r="J491" s="90"/>
      <c r="M491" s="10"/>
    </row>
    <row r="492" spans="3:13" ht="12.75">
      <c r="C492" s="92"/>
      <c r="D492" s="92"/>
      <c r="E492" s="92"/>
      <c r="F492" s="92"/>
      <c r="G492" s="92"/>
      <c r="H492" s="93"/>
      <c r="I492" s="90"/>
      <c r="J492" s="90"/>
      <c r="M492" s="10"/>
    </row>
    <row r="493" spans="3:13" ht="12.75">
      <c r="C493" s="92"/>
      <c r="D493" s="92"/>
      <c r="E493" s="92"/>
      <c r="F493" s="92"/>
      <c r="G493" s="92"/>
      <c r="H493" s="93"/>
      <c r="I493" s="90"/>
      <c r="J493" s="90"/>
      <c r="M493" s="10"/>
    </row>
    <row r="494" spans="3:13" ht="12.75">
      <c r="C494" s="92"/>
      <c r="D494" s="92"/>
      <c r="E494" s="92"/>
      <c r="F494" s="92"/>
      <c r="G494" s="92"/>
      <c r="H494" s="93"/>
      <c r="I494" s="90"/>
      <c r="J494" s="90"/>
      <c r="M494" s="10"/>
    </row>
    <row r="495" spans="3:13" ht="12.75">
      <c r="C495" s="92"/>
      <c r="D495" s="92"/>
      <c r="E495" s="92"/>
      <c r="F495" s="92"/>
      <c r="G495" s="92"/>
      <c r="H495" s="93"/>
      <c r="I495" s="90"/>
      <c r="J495" s="90"/>
      <c r="M495" s="10"/>
    </row>
    <row r="496" spans="3:13" ht="12.75">
      <c r="C496" s="92"/>
      <c r="D496" s="92"/>
      <c r="E496" s="92"/>
      <c r="F496" s="92"/>
      <c r="G496" s="92"/>
      <c r="H496" s="93"/>
      <c r="I496" s="90"/>
      <c r="J496" s="90"/>
      <c r="M496" s="10"/>
    </row>
    <row r="497" spans="3:13" ht="12.75">
      <c r="C497" s="92"/>
      <c r="D497" s="92"/>
      <c r="E497" s="92"/>
      <c r="F497" s="92"/>
      <c r="G497" s="92"/>
      <c r="H497" s="93"/>
      <c r="I497" s="90"/>
      <c r="J497" s="90"/>
      <c r="M497" s="10"/>
    </row>
    <row r="498" spans="3:13" ht="12.75">
      <c r="C498" s="92"/>
      <c r="D498" s="92"/>
      <c r="E498" s="92"/>
      <c r="F498" s="92"/>
      <c r="G498" s="92"/>
      <c r="H498" s="93"/>
      <c r="I498" s="90"/>
      <c r="J498" s="90"/>
      <c r="M498" s="10"/>
    </row>
    <row r="499" spans="3:13" ht="12.75">
      <c r="C499" s="92"/>
      <c r="D499" s="92"/>
      <c r="E499" s="92"/>
      <c r="F499" s="92"/>
      <c r="G499" s="92"/>
      <c r="H499" s="93"/>
      <c r="I499" s="90"/>
      <c r="J499" s="90"/>
      <c r="M499" s="10"/>
    </row>
    <row r="500" spans="3:13" ht="12.75">
      <c r="C500" s="92"/>
      <c r="D500" s="92"/>
      <c r="E500" s="92"/>
      <c r="F500" s="92"/>
      <c r="G500" s="92"/>
      <c r="H500" s="93"/>
      <c r="I500" s="90"/>
      <c r="J500" s="90"/>
      <c r="M500" s="10"/>
    </row>
    <row r="501" spans="3:13" ht="12.75">
      <c r="C501" s="92"/>
      <c r="D501" s="92"/>
      <c r="E501" s="92"/>
      <c r="F501" s="92"/>
      <c r="G501" s="92"/>
      <c r="H501" s="93"/>
      <c r="I501" s="90"/>
      <c r="J501" s="90"/>
      <c r="M501" s="10"/>
    </row>
    <row r="502" spans="3:13" ht="12.75">
      <c r="C502" s="92"/>
      <c r="D502" s="92"/>
      <c r="E502" s="92"/>
      <c r="F502" s="92"/>
      <c r="G502" s="92"/>
      <c r="H502" s="93"/>
      <c r="I502" s="90"/>
      <c r="J502" s="90"/>
      <c r="M502" s="10"/>
    </row>
    <row r="503" spans="3:13" ht="12.75">
      <c r="C503" s="92"/>
      <c r="D503" s="92"/>
      <c r="E503" s="92"/>
      <c r="F503" s="92"/>
      <c r="G503" s="92"/>
      <c r="H503" s="93"/>
      <c r="I503" s="90"/>
      <c r="J503" s="90"/>
      <c r="M503" s="10"/>
    </row>
    <row r="504" spans="3:13" ht="12.75">
      <c r="C504" s="92"/>
      <c r="D504" s="92"/>
      <c r="E504" s="92"/>
      <c r="F504" s="92"/>
      <c r="G504" s="92"/>
      <c r="H504" s="93"/>
      <c r="I504" s="90"/>
      <c r="J504" s="90"/>
      <c r="M504" s="10"/>
    </row>
    <row r="505" spans="3:13" ht="12.75">
      <c r="C505" s="92"/>
      <c r="D505" s="92"/>
      <c r="E505" s="92"/>
      <c r="F505" s="92"/>
      <c r="G505" s="92"/>
      <c r="H505" s="93"/>
      <c r="I505" s="90"/>
      <c r="J505" s="90"/>
      <c r="M505" s="10"/>
    </row>
    <row r="506" spans="3:13" ht="12.75">
      <c r="C506" s="92"/>
      <c r="D506" s="92"/>
      <c r="E506" s="92"/>
      <c r="F506" s="92"/>
      <c r="G506" s="92"/>
      <c r="H506" s="93"/>
      <c r="I506" s="90"/>
      <c r="J506" s="90"/>
      <c r="M506" s="10"/>
    </row>
    <row r="507" spans="3:13" ht="12.75">
      <c r="C507" s="92"/>
      <c r="D507" s="92"/>
      <c r="E507" s="92"/>
      <c r="F507" s="92"/>
      <c r="G507" s="92"/>
      <c r="H507" s="93"/>
      <c r="I507" s="90"/>
      <c r="J507" s="90"/>
      <c r="M507" s="10"/>
    </row>
    <row r="508" spans="3:13" ht="12.75">
      <c r="C508" s="92"/>
      <c r="D508" s="92"/>
      <c r="E508" s="92"/>
      <c r="F508" s="92"/>
      <c r="G508" s="92"/>
      <c r="H508" s="93"/>
      <c r="I508" s="90"/>
      <c r="J508" s="90"/>
      <c r="M508" s="10"/>
    </row>
    <row r="509" spans="3:13" ht="12.75">
      <c r="C509" s="92"/>
      <c r="D509" s="92"/>
      <c r="E509" s="92"/>
      <c r="F509" s="92"/>
      <c r="G509" s="92"/>
      <c r="H509" s="93"/>
      <c r="I509" s="90"/>
      <c r="J509" s="90"/>
      <c r="M509" s="10"/>
    </row>
    <row r="510" spans="3:13" ht="12.75">
      <c r="C510" s="92"/>
      <c r="D510" s="92"/>
      <c r="E510" s="92"/>
      <c r="F510" s="92"/>
      <c r="G510" s="92"/>
      <c r="H510" s="93"/>
      <c r="I510" s="90"/>
      <c r="J510" s="90"/>
      <c r="M510" s="10"/>
    </row>
    <row r="511" spans="3:13" ht="12.75">
      <c r="C511" s="92"/>
      <c r="D511" s="92"/>
      <c r="E511" s="92"/>
      <c r="F511" s="92"/>
      <c r="G511" s="92"/>
      <c r="H511" s="93"/>
      <c r="I511" s="90"/>
      <c r="J511" s="90"/>
      <c r="M511" s="10"/>
    </row>
    <row r="512" spans="3:13" ht="12.75">
      <c r="C512" s="92"/>
      <c r="D512" s="92"/>
      <c r="E512" s="92"/>
      <c r="F512" s="92"/>
      <c r="G512" s="92"/>
      <c r="H512" s="93"/>
      <c r="I512" s="90"/>
      <c r="J512" s="90"/>
      <c r="M512" s="10"/>
    </row>
    <row r="513" spans="3:13" ht="12.75">
      <c r="C513" s="92"/>
      <c r="D513" s="92"/>
      <c r="E513" s="92"/>
      <c r="F513" s="92"/>
      <c r="G513" s="92"/>
      <c r="H513" s="93"/>
      <c r="I513" s="90"/>
      <c r="J513" s="90"/>
      <c r="M513" s="10"/>
    </row>
    <row r="514" spans="3:13" ht="12.75">
      <c r="C514" s="92"/>
      <c r="D514" s="92"/>
      <c r="E514" s="92"/>
      <c r="F514" s="92"/>
      <c r="G514" s="92"/>
      <c r="H514" s="93"/>
      <c r="I514" s="90"/>
      <c r="J514" s="90"/>
      <c r="M514" s="10"/>
    </row>
    <row r="515" spans="3:13" ht="12.75">
      <c r="C515" s="92"/>
      <c r="D515" s="92"/>
      <c r="E515" s="92"/>
      <c r="F515" s="92"/>
      <c r="G515" s="92"/>
      <c r="H515" s="93"/>
      <c r="I515" s="90"/>
      <c r="J515" s="90"/>
      <c r="M515" s="10"/>
    </row>
    <row r="516" spans="3:13" ht="12.75">
      <c r="C516" s="92"/>
      <c r="D516" s="92"/>
      <c r="E516" s="92"/>
      <c r="F516" s="92"/>
      <c r="G516" s="92"/>
      <c r="H516" s="93"/>
      <c r="I516" s="90"/>
      <c r="J516" s="90"/>
      <c r="M516" s="10"/>
    </row>
    <row r="517" spans="3:13" ht="12.75">
      <c r="C517" s="92"/>
      <c r="D517" s="92"/>
      <c r="E517" s="92"/>
      <c r="F517" s="92"/>
      <c r="G517" s="92"/>
      <c r="H517" s="93"/>
      <c r="I517" s="90"/>
      <c r="J517" s="90"/>
      <c r="M517" s="10"/>
    </row>
    <row r="518" spans="3:13" ht="12.75">
      <c r="C518" s="92"/>
      <c r="D518" s="92"/>
      <c r="E518" s="92"/>
      <c r="F518" s="92"/>
      <c r="G518" s="92"/>
      <c r="H518" s="93"/>
      <c r="I518" s="90"/>
      <c r="J518" s="90"/>
      <c r="M518" s="10"/>
    </row>
    <row r="519" spans="3:13" ht="12.75">
      <c r="C519" s="92"/>
      <c r="D519" s="92"/>
      <c r="E519" s="92"/>
      <c r="F519" s="92"/>
      <c r="G519" s="92"/>
      <c r="H519" s="93"/>
      <c r="I519" s="90"/>
      <c r="J519" s="90"/>
      <c r="M519" s="10"/>
    </row>
    <row r="520" spans="3:13" ht="12.75">
      <c r="C520" s="92"/>
      <c r="D520" s="92"/>
      <c r="E520" s="92"/>
      <c r="F520" s="92"/>
      <c r="G520" s="92"/>
      <c r="H520" s="93"/>
      <c r="I520" s="90"/>
      <c r="J520" s="90"/>
      <c r="M520" s="10"/>
    </row>
    <row r="521" spans="3:13" ht="12.75">
      <c r="C521" s="92"/>
      <c r="D521" s="92"/>
      <c r="E521" s="92"/>
      <c r="F521" s="92"/>
      <c r="G521" s="92"/>
      <c r="H521" s="93"/>
      <c r="I521" s="90"/>
      <c r="J521" s="90"/>
      <c r="M521" s="10"/>
    </row>
    <row r="522" spans="3:13" ht="12.75">
      <c r="C522" s="92"/>
      <c r="D522" s="92"/>
      <c r="E522" s="92"/>
      <c r="F522" s="92"/>
      <c r="G522" s="92"/>
      <c r="H522" s="93"/>
      <c r="I522" s="90"/>
      <c r="J522" s="90"/>
      <c r="M522" s="10"/>
    </row>
    <row r="523" spans="3:13" ht="12.75">
      <c r="C523" s="92"/>
      <c r="D523" s="92"/>
      <c r="E523" s="92"/>
      <c r="F523" s="92"/>
      <c r="G523" s="92"/>
      <c r="H523" s="93"/>
      <c r="I523" s="90"/>
      <c r="J523" s="90"/>
      <c r="M523" s="10"/>
    </row>
    <row r="524" spans="3:13" ht="12.75">
      <c r="C524" s="92"/>
      <c r="D524" s="92"/>
      <c r="E524" s="92"/>
      <c r="F524" s="92"/>
      <c r="G524" s="92"/>
      <c r="H524" s="93"/>
      <c r="I524" s="90"/>
      <c r="J524" s="90"/>
      <c r="M524" s="10"/>
    </row>
    <row r="525" spans="3:13" ht="12.75">
      <c r="C525" s="92"/>
      <c r="D525" s="92"/>
      <c r="E525" s="92"/>
      <c r="F525" s="92"/>
      <c r="G525" s="92"/>
      <c r="H525" s="93"/>
      <c r="I525" s="90"/>
      <c r="J525" s="90"/>
      <c r="M525" s="10"/>
    </row>
    <row r="526" spans="3:13" ht="12.75">
      <c r="C526" s="92"/>
      <c r="D526" s="92"/>
      <c r="E526" s="92"/>
      <c r="F526" s="92"/>
      <c r="G526" s="92"/>
      <c r="H526" s="93"/>
      <c r="I526" s="90"/>
      <c r="J526" s="90"/>
      <c r="M526" s="10"/>
    </row>
    <row r="527" spans="3:13" ht="12.75">
      <c r="C527" s="92"/>
      <c r="D527" s="92"/>
      <c r="E527" s="92"/>
      <c r="F527" s="92"/>
      <c r="G527" s="92"/>
      <c r="H527" s="93"/>
      <c r="I527" s="90"/>
      <c r="J527" s="90"/>
      <c r="M527" s="10"/>
    </row>
    <row r="528" spans="3:13" ht="12.75">
      <c r="C528" s="92"/>
      <c r="D528" s="92"/>
      <c r="E528" s="92"/>
      <c r="F528" s="92"/>
      <c r="G528" s="92"/>
      <c r="H528" s="93"/>
      <c r="I528" s="90"/>
      <c r="J528" s="90"/>
      <c r="M528" s="10"/>
    </row>
    <row r="529" spans="3:13" ht="12.75">
      <c r="C529" s="92"/>
      <c r="D529" s="92"/>
      <c r="E529" s="92"/>
      <c r="F529" s="92"/>
      <c r="G529" s="92"/>
      <c r="H529" s="93"/>
      <c r="I529" s="90"/>
      <c r="J529" s="90"/>
      <c r="M529" s="10"/>
    </row>
    <row r="530" spans="3:13" ht="12.75">
      <c r="C530" s="92"/>
      <c r="D530" s="92"/>
      <c r="E530" s="92"/>
      <c r="F530" s="92"/>
      <c r="G530" s="92"/>
      <c r="H530" s="93"/>
      <c r="I530" s="90"/>
      <c r="J530" s="90"/>
      <c r="M530" s="10"/>
    </row>
    <row r="531" spans="3:13" ht="12.75">
      <c r="C531" s="92"/>
      <c r="D531" s="92"/>
      <c r="E531" s="92"/>
      <c r="F531" s="92"/>
      <c r="G531" s="92"/>
      <c r="H531" s="93"/>
      <c r="I531" s="90"/>
      <c r="J531" s="90"/>
      <c r="M531" s="10"/>
    </row>
    <row r="532" spans="3:13" ht="12.75">
      <c r="C532" s="92"/>
      <c r="D532" s="92"/>
      <c r="E532" s="92"/>
      <c r="F532" s="92"/>
      <c r="G532" s="92"/>
      <c r="H532" s="93"/>
      <c r="I532" s="90"/>
      <c r="J532" s="90"/>
      <c r="M532" s="10"/>
    </row>
    <row r="533" spans="3:13" ht="12.75">
      <c r="C533" s="92"/>
      <c r="D533" s="92"/>
      <c r="E533" s="92"/>
      <c r="F533" s="92"/>
      <c r="G533" s="92"/>
      <c r="H533" s="93"/>
      <c r="I533" s="90"/>
      <c r="J533" s="90"/>
      <c r="M533" s="10"/>
    </row>
    <row r="534" spans="3:13" ht="12.75">
      <c r="C534" s="92"/>
      <c r="D534" s="92"/>
      <c r="E534" s="92"/>
      <c r="F534" s="92"/>
      <c r="G534" s="92"/>
      <c r="H534" s="93"/>
      <c r="I534" s="90"/>
      <c r="J534" s="90"/>
      <c r="M534" s="10"/>
    </row>
    <row r="535" spans="3:13" ht="12.75">
      <c r="C535" s="92"/>
      <c r="D535" s="92"/>
      <c r="E535" s="92"/>
      <c r="F535" s="92"/>
      <c r="G535" s="92"/>
      <c r="H535" s="93"/>
      <c r="I535" s="90"/>
      <c r="J535" s="90"/>
      <c r="M535" s="10"/>
    </row>
    <row r="536" spans="3:13" ht="12.75">
      <c r="C536" s="92"/>
      <c r="D536" s="92"/>
      <c r="E536" s="92"/>
      <c r="F536" s="92"/>
      <c r="G536" s="92"/>
      <c r="H536" s="93"/>
      <c r="I536" s="90"/>
      <c r="J536" s="90"/>
      <c r="M536" s="10"/>
    </row>
    <row r="537" spans="3:13" ht="12.75">
      <c r="C537" s="92"/>
      <c r="D537" s="92"/>
      <c r="E537" s="92"/>
      <c r="F537" s="92"/>
      <c r="G537" s="92"/>
      <c r="H537" s="93"/>
      <c r="I537" s="90"/>
      <c r="J537" s="90"/>
      <c r="M537" s="10"/>
    </row>
    <row r="538" spans="3:13" ht="12.75">
      <c r="C538" s="92"/>
      <c r="D538" s="92"/>
      <c r="E538" s="92"/>
      <c r="F538" s="92"/>
      <c r="G538" s="92"/>
      <c r="H538" s="93"/>
      <c r="I538" s="90"/>
      <c r="J538" s="90"/>
      <c r="M538" s="10"/>
    </row>
    <row r="539" spans="3:13" ht="12.75">
      <c r="C539" s="92"/>
      <c r="D539" s="92"/>
      <c r="E539" s="92"/>
      <c r="F539" s="92"/>
      <c r="G539" s="92"/>
      <c r="H539" s="93"/>
      <c r="I539" s="90"/>
      <c r="J539" s="90"/>
      <c r="M539" s="10"/>
    </row>
    <row r="540" spans="3:13" ht="12.75">
      <c r="C540" s="92"/>
      <c r="D540" s="92"/>
      <c r="E540" s="92"/>
      <c r="F540" s="92"/>
      <c r="G540" s="92"/>
      <c r="H540" s="93"/>
      <c r="I540" s="90"/>
      <c r="J540" s="90"/>
      <c r="M540" s="10"/>
    </row>
    <row r="541" spans="3:13" ht="12.75">
      <c r="C541" s="92"/>
      <c r="D541" s="92"/>
      <c r="E541" s="92"/>
      <c r="F541" s="92"/>
      <c r="G541" s="92"/>
      <c r="H541" s="93"/>
      <c r="I541" s="90"/>
      <c r="J541" s="90"/>
      <c r="M541" s="10"/>
    </row>
    <row r="542" spans="3:13" ht="12.75">
      <c r="C542" s="92"/>
      <c r="D542" s="92"/>
      <c r="E542" s="92"/>
      <c r="F542" s="92"/>
      <c r="G542" s="92"/>
      <c r="H542" s="93"/>
      <c r="I542" s="90"/>
      <c r="J542" s="90"/>
      <c r="M542" s="10"/>
    </row>
    <row r="543" spans="3:13" ht="12.75">
      <c r="C543" s="92"/>
      <c r="D543" s="92"/>
      <c r="E543" s="92"/>
      <c r="F543" s="92"/>
      <c r="G543" s="92"/>
      <c r="H543" s="93"/>
      <c r="I543" s="90"/>
      <c r="J543" s="90"/>
      <c r="M543" s="10"/>
    </row>
    <row r="544" spans="3:13" ht="12.75">
      <c r="C544" s="92"/>
      <c r="D544" s="92"/>
      <c r="E544" s="92"/>
      <c r="F544" s="92"/>
      <c r="G544" s="92"/>
      <c r="H544" s="93"/>
      <c r="I544" s="90"/>
      <c r="J544" s="90"/>
      <c r="M544" s="10"/>
    </row>
    <row r="545" spans="3:13" ht="12.75">
      <c r="C545" s="92"/>
      <c r="D545" s="92"/>
      <c r="E545" s="92"/>
      <c r="F545" s="92"/>
      <c r="G545" s="92"/>
      <c r="H545" s="93"/>
      <c r="I545" s="90"/>
      <c r="J545" s="90"/>
      <c r="M545" s="10"/>
    </row>
    <row r="546" spans="3:13" ht="12.75">
      <c r="C546" s="92"/>
      <c r="D546" s="92"/>
      <c r="E546" s="92"/>
      <c r="F546" s="92"/>
      <c r="G546" s="92"/>
      <c r="H546" s="93"/>
      <c r="I546" s="90"/>
      <c r="J546" s="90"/>
      <c r="M546" s="10"/>
    </row>
    <row r="547" spans="3:13" ht="12.75">
      <c r="C547" s="92"/>
      <c r="D547" s="92"/>
      <c r="E547" s="92"/>
      <c r="F547" s="92"/>
      <c r="G547" s="92"/>
      <c r="H547" s="93"/>
      <c r="I547" s="90"/>
      <c r="J547" s="90"/>
      <c r="M547" s="10"/>
    </row>
    <row r="548" spans="3:13" ht="12.75">
      <c r="C548" s="92"/>
      <c r="D548" s="92"/>
      <c r="E548" s="92"/>
      <c r="F548" s="92"/>
      <c r="G548" s="92"/>
      <c r="H548" s="93"/>
      <c r="I548" s="90"/>
      <c r="J548" s="90"/>
      <c r="M548" s="10"/>
    </row>
    <row r="549" spans="3:13" ht="12.75">
      <c r="C549" s="92"/>
      <c r="D549" s="92"/>
      <c r="E549" s="92"/>
      <c r="F549" s="92"/>
      <c r="G549" s="92"/>
      <c r="H549" s="93"/>
      <c r="I549" s="90"/>
      <c r="J549" s="90"/>
      <c r="M549" s="10"/>
    </row>
    <row r="550" spans="3:13" ht="12.75">
      <c r="C550" s="92"/>
      <c r="D550" s="92"/>
      <c r="E550" s="92"/>
      <c r="F550" s="92"/>
      <c r="G550" s="92"/>
      <c r="H550" s="93"/>
      <c r="I550" s="90"/>
      <c r="J550" s="90"/>
      <c r="M550" s="10"/>
    </row>
    <row r="551" spans="3:13" ht="12.75">
      <c r="C551" s="92"/>
      <c r="D551" s="92"/>
      <c r="E551" s="92"/>
      <c r="F551" s="92"/>
      <c r="G551" s="92"/>
      <c r="H551" s="93"/>
      <c r="I551" s="90"/>
      <c r="J551" s="90"/>
      <c r="M551" s="10"/>
    </row>
    <row r="552" spans="3:13" ht="12.75">
      <c r="C552" s="92"/>
      <c r="D552" s="92"/>
      <c r="E552" s="92"/>
      <c r="F552" s="92"/>
      <c r="G552" s="92"/>
      <c r="H552" s="93"/>
      <c r="I552" s="90"/>
      <c r="J552" s="90"/>
      <c r="M552" s="10"/>
    </row>
    <row r="553" spans="3:13" ht="12.75">
      <c r="C553" s="92"/>
      <c r="D553" s="92"/>
      <c r="E553" s="92"/>
      <c r="F553" s="92"/>
      <c r="G553" s="92"/>
      <c r="H553" s="93"/>
      <c r="I553" s="90"/>
      <c r="J553" s="90"/>
      <c r="M553" s="10"/>
    </row>
    <row r="554" spans="3:13" ht="12.75">
      <c r="C554" s="92"/>
      <c r="D554" s="92"/>
      <c r="E554" s="92"/>
      <c r="F554" s="92"/>
      <c r="G554" s="92"/>
      <c r="H554" s="93"/>
      <c r="I554" s="90"/>
      <c r="J554" s="90"/>
      <c r="M554" s="10"/>
    </row>
    <row r="555" spans="3:13" ht="12.75">
      <c r="C555" s="92"/>
      <c r="D555" s="92"/>
      <c r="E555" s="92"/>
      <c r="F555" s="92"/>
      <c r="G555" s="92"/>
      <c r="H555" s="93"/>
      <c r="I555" s="90"/>
      <c r="J555" s="90"/>
      <c r="M555" s="10"/>
    </row>
    <row r="556" spans="3:13" ht="12.75">
      <c r="C556" s="92"/>
      <c r="D556" s="92"/>
      <c r="E556" s="92"/>
      <c r="F556" s="92"/>
      <c r="G556" s="92"/>
      <c r="H556" s="93"/>
      <c r="I556" s="90"/>
      <c r="J556" s="90"/>
      <c r="M556" s="10"/>
    </row>
    <row r="557" spans="3:13" ht="12.75">
      <c r="C557" s="92"/>
      <c r="D557" s="92"/>
      <c r="E557" s="92"/>
      <c r="F557" s="92"/>
      <c r="G557" s="92"/>
      <c r="H557" s="93"/>
      <c r="I557" s="90"/>
      <c r="J557" s="90"/>
      <c r="M557" s="10"/>
    </row>
    <row r="558" spans="3:13" ht="12.75">
      <c r="C558" s="92"/>
      <c r="D558" s="92"/>
      <c r="E558" s="92"/>
      <c r="F558" s="92"/>
      <c r="G558" s="92"/>
      <c r="H558" s="93"/>
      <c r="I558" s="90"/>
      <c r="J558" s="90"/>
      <c r="M558" s="10"/>
    </row>
    <row r="559" spans="3:13" ht="12.75">
      <c r="C559" s="92"/>
      <c r="D559" s="92"/>
      <c r="E559" s="92"/>
      <c r="F559" s="92"/>
      <c r="G559" s="92"/>
      <c r="H559" s="93"/>
      <c r="I559" s="90"/>
      <c r="J559" s="90"/>
      <c r="M559" s="10"/>
    </row>
    <row r="560" spans="3:13" ht="12.75">
      <c r="C560" s="92"/>
      <c r="D560" s="92"/>
      <c r="E560" s="92"/>
      <c r="F560" s="92"/>
      <c r="G560" s="92"/>
      <c r="H560" s="93"/>
      <c r="I560" s="90"/>
      <c r="J560" s="90"/>
      <c r="M560" s="10"/>
    </row>
    <row r="561" spans="3:13" ht="12.75">
      <c r="C561" s="92"/>
      <c r="D561" s="92"/>
      <c r="E561" s="92"/>
      <c r="F561" s="92"/>
      <c r="G561" s="92"/>
      <c r="H561" s="93"/>
      <c r="I561" s="90"/>
      <c r="J561" s="90"/>
      <c r="M561" s="10"/>
    </row>
    <row r="562" spans="3:13" ht="12.75">
      <c r="C562" s="92"/>
      <c r="D562" s="92"/>
      <c r="E562" s="92"/>
      <c r="F562" s="92"/>
      <c r="G562" s="92"/>
      <c r="H562" s="93"/>
      <c r="I562" s="90"/>
      <c r="J562" s="90"/>
      <c r="M562" s="10"/>
    </row>
    <row r="563" spans="3:13" ht="12.75">
      <c r="C563" s="92"/>
      <c r="D563" s="92"/>
      <c r="E563" s="92"/>
      <c r="F563" s="92"/>
      <c r="G563" s="92"/>
      <c r="H563" s="93"/>
      <c r="I563" s="90"/>
      <c r="J563" s="90"/>
      <c r="M563" s="10"/>
    </row>
    <row r="564" spans="3:13" ht="12.75">
      <c r="C564" s="92"/>
      <c r="D564" s="92"/>
      <c r="E564" s="92"/>
      <c r="F564" s="92"/>
      <c r="G564" s="92"/>
      <c r="H564" s="93"/>
      <c r="I564" s="90"/>
      <c r="J564" s="90"/>
      <c r="M564" s="10"/>
    </row>
    <row r="565" spans="3:13" ht="12.75">
      <c r="C565" s="92"/>
      <c r="D565" s="92"/>
      <c r="E565" s="92"/>
      <c r="F565" s="92"/>
      <c r="G565" s="92"/>
      <c r="H565" s="93"/>
      <c r="I565" s="90"/>
      <c r="J565" s="90"/>
      <c r="M565" s="10"/>
    </row>
    <row r="566" spans="3:13" ht="12.75">
      <c r="C566" s="92"/>
      <c r="D566" s="92"/>
      <c r="E566" s="92"/>
      <c r="F566" s="92"/>
      <c r="G566" s="92"/>
      <c r="H566" s="93"/>
      <c r="I566" s="90"/>
      <c r="J566" s="90"/>
      <c r="M566" s="10"/>
    </row>
    <row r="567" spans="3:13" ht="12.75">
      <c r="C567" s="92"/>
      <c r="D567" s="92"/>
      <c r="E567" s="92"/>
      <c r="F567" s="92"/>
      <c r="G567" s="92"/>
      <c r="H567" s="93"/>
      <c r="I567" s="90"/>
      <c r="J567" s="90"/>
      <c r="M567" s="10"/>
    </row>
    <row r="568" spans="3:13" ht="12.75">
      <c r="C568" s="92"/>
      <c r="D568" s="92"/>
      <c r="E568" s="92"/>
      <c r="F568" s="92"/>
      <c r="G568" s="92"/>
      <c r="H568" s="93"/>
      <c r="I568" s="90"/>
      <c r="J568" s="90"/>
      <c r="M568" s="10"/>
    </row>
    <row r="569" spans="3:13" ht="12.75">
      <c r="C569" s="92"/>
      <c r="D569" s="92"/>
      <c r="E569" s="92"/>
      <c r="F569" s="92"/>
      <c r="G569" s="92"/>
      <c r="H569" s="93"/>
      <c r="I569" s="90"/>
      <c r="J569" s="90"/>
      <c r="M569" s="10"/>
    </row>
    <row r="570" spans="3:13" ht="12.75">
      <c r="C570" s="92"/>
      <c r="D570" s="92"/>
      <c r="E570" s="92"/>
      <c r="F570" s="92"/>
      <c r="G570" s="92"/>
      <c r="H570" s="93"/>
      <c r="I570" s="90"/>
      <c r="J570" s="90"/>
      <c r="M570" s="10"/>
    </row>
    <row r="571" spans="3:13" ht="12.75">
      <c r="C571" s="92"/>
      <c r="D571" s="92"/>
      <c r="E571" s="92"/>
      <c r="F571" s="92"/>
      <c r="G571" s="92"/>
      <c r="H571" s="93"/>
      <c r="I571" s="90"/>
      <c r="J571" s="90"/>
      <c r="M571" s="10"/>
    </row>
    <row r="572" spans="3:13" ht="12.75">
      <c r="C572" s="92"/>
      <c r="D572" s="92"/>
      <c r="E572" s="92"/>
      <c r="F572" s="92"/>
      <c r="G572" s="92"/>
      <c r="H572" s="93"/>
      <c r="I572" s="90"/>
      <c r="J572" s="90"/>
      <c r="M572" s="10"/>
    </row>
    <row r="573" spans="3:13" ht="12.75">
      <c r="C573" s="92"/>
      <c r="D573" s="92"/>
      <c r="E573" s="92"/>
      <c r="F573" s="92"/>
      <c r="G573" s="92"/>
      <c r="H573" s="93"/>
      <c r="I573" s="90"/>
      <c r="J573" s="90"/>
      <c r="M573" s="10"/>
    </row>
    <row r="574" spans="3:13" ht="12.75">
      <c r="C574" s="92"/>
      <c r="D574" s="92"/>
      <c r="E574" s="92"/>
      <c r="F574" s="92"/>
      <c r="G574" s="92"/>
      <c r="H574" s="93"/>
      <c r="I574" s="90"/>
      <c r="J574" s="90"/>
      <c r="M574" s="10"/>
    </row>
    <row r="575" spans="3:13" ht="12.75">
      <c r="C575" s="92"/>
      <c r="D575" s="92"/>
      <c r="E575" s="92"/>
      <c r="F575" s="92"/>
      <c r="G575" s="92"/>
      <c r="H575" s="93"/>
      <c r="I575" s="90"/>
      <c r="J575" s="90"/>
      <c r="M575" s="10"/>
    </row>
    <row r="576" spans="3:13" ht="12.75">
      <c r="C576" s="92"/>
      <c r="D576" s="92"/>
      <c r="E576" s="92"/>
      <c r="F576" s="92"/>
      <c r="G576" s="92"/>
      <c r="H576" s="93"/>
      <c r="I576" s="90"/>
      <c r="J576" s="90"/>
      <c r="M576" s="10"/>
    </row>
    <row r="577" spans="3:13" ht="12.75">
      <c r="C577" s="92"/>
      <c r="D577" s="92"/>
      <c r="E577" s="92"/>
      <c r="F577" s="92"/>
      <c r="G577" s="92"/>
      <c r="H577" s="93"/>
      <c r="I577" s="90"/>
      <c r="J577" s="90"/>
      <c r="M577" s="10"/>
    </row>
    <row r="578" spans="3:13" ht="12.75">
      <c r="C578" s="92"/>
      <c r="D578" s="92"/>
      <c r="E578" s="92"/>
      <c r="F578" s="92"/>
      <c r="G578" s="92"/>
      <c r="H578" s="93"/>
      <c r="I578" s="90"/>
      <c r="J578" s="90"/>
      <c r="M578" s="10"/>
    </row>
    <row r="579" spans="3:13" ht="12.75">
      <c r="C579" s="92"/>
      <c r="D579" s="92"/>
      <c r="E579" s="92"/>
      <c r="F579" s="92"/>
      <c r="G579" s="92"/>
      <c r="H579" s="93"/>
      <c r="I579" s="90"/>
      <c r="J579" s="90"/>
      <c r="M579" s="10"/>
    </row>
    <row r="580" spans="3:13" ht="12.75">
      <c r="C580" s="92"/>
      <c r="D580" s="92"/>
      <c r="E580" s="92"/>
      <c r="F580" s="92"/>
      <c r="G580" s="92"/>
      <c r="H580" s="93"/>
      <c r="I580" s="90"/>
      <c r="J580" s="90"/>
      <c r="M580" s="10"/>
    </row>
    <row r="581" spans="3:13" ht="12.75">
      <c r="C581" s="92"/>
      <c r="D581" s="92"/>
      <c r="E581" s="92"/>
      <c r="F581" s="92"/>
      <c r="G581" s="92"/>
      <c r="H581" s="93"/>
      <c r="I581" s="90"/>
      <c r="J581" s="90"/>
      <c r="M581" s="10"/>
    </row>
    <row r="582" spans="3:13" ht="12.75">
      <c r="C582" s="92"/>
      <c r="D582" s="92"/>
      <c r="E582" s="92"/>
      <c r="F582" s="92"/>
      <c r="G582" s="92"/>
      <c r="H582" s="93"/>
      <c r="I582" s="90"/>
      <c r="J582" s="90"/>
      <c r="M582" s="10"/>
    </row>
    <row r="583" spans="3:13" ht="12.75">
      <c r="C583" s="92"/>
      <c r="D583" s="92"/>
      <c r="E583" s="92"/>
      <c r="F583" s="92"/>
      <c r="G583" s="92"/>
      <c r="H583" s="93"/>
      <c r="I583" s="90"/>
      <c r="J583" s="90"/>
      <c r="M583" s="10"/>
    </row>
    <row r="584" spans="3:13" ht="12.75">
      <c r="C584" s="92"/>
      <c r="D584" s="92"/>
      <c r="E584" s="92"/>
      <c r="F584" s="92"/>
      <c r="G584" s="92"/>
      <c r="H584" s="93"/>
      <c r="I584" s="90"/>
      <c r="J584" s="90"/>
      <c r="M584" s="10"/>
    </row>
    <row r="585" spans="3:13" ht="12.75">
      <c r="C585" s="92"/>
      <c r="D585" s="92"/>
      <c r="E585" s="92"/>
      <c r="F585" s="92"/>
      <c r="G585" s="92"/>
      <c r="H585" s="93"/>
      <c r="I585" s="90"/>
      <c r="J585" s="90"/>
      <c r="M585" s="10"/>
    </row>
    <row r="586" spans="3:13" ht="12.75">
      <c r="C586" s="92"/>
      <c r="D586" s="92"/>
      <c r="E586" s="92"/>
      <c r="F586" s="92"/>
      <c r="G586" s="92"/>
      <c r="H586" s="93"/>
      <c r="I586" s="90"/>
      <c r="J586" s="90"/>
      <c r="M586" s="10"/>
    </row>
    <row r="587" spans="3:13" ht="12.75">
      <c r="C587" s="92"/>
      <c r="D587" s="92"/>
      <c r="E587" s="92"/>
      <c r="F587" s="92"/>
      <c r="G587" s="92"/>
      <c r="H587" s="93"/>
      <c r="I587" s="90"/>
      <c r="J587" s="90"/>
      <c r="M587" s="10"/>
    </row>
    <row r="588" spans="3:13" ht="12.75">
      <c r="C588" s="92"/>
      <c r="D588" s="92"/>
      <c r="E588" s="92"/>
      <c r="F588" s="92"/>
      <c r="G588" s="92"/>
      <c r="H588" s="93"/>
      <c r="I588" s="90"/>
      <c r="J588" s="90"/>
      <c r="M588" s="10"/>
    </row>
    <row r="589" spans="3:13" ht="12.75">
      <c r="C589" s="92"/>
      <c r="D589" s="92"/>
      <c r="E589" s="92"/>
      <c r="F589" s="92"/>
      <c r="G589" s="92"/>
      <c r="H589" s="93"/>
      <c r="I589" s="90"/>
      <c r="J589" s="90"/>
      <c r="M589" s="10"/>
    </row>
    <row r="590" spans="3:13" ht="12.75">
      <c r="C590" s="92"/>
      <c r="D590" s="92"/>
      <c r="E590" s="92"/>
      <c r="F590" s="92"/>
      <c r="G590" s="92"/>
      <c r="H590" s="93"/>
      <c r="I590" s="90"/>
      <c r="J590" s="90"/>
      <c r="M590" s="10"/>
    </row>
    <row r="591" spans="3:13" ht="12.75">
      <c r="C591" s="92"/>
      <c r="D591" s="92"/>
      <c r="E591" s="92"/>
      <c r="F591" s="92"/>
      <c r="G591" s="92"/>
      <c r="H591" s="93"/>
      <c r="I591" s="90"/>
      <c r="J591" s="90"/>
      <c r="M591" s="10"/>
    </row>
    <row r="592" spans="3:13" ht="12.75">
      <c r="C592" s="92"/>
      <c r="D592" s="92"/>
      <c r="E592" s="92"/>
      <c r="F592" s="92"/>
      <c r="G592" s="92"/>
      <c r="H592" s="93"/>
      <c r="I592" s="90"/>
      <c r="J592" s="90"/>
      <c r="M592" s="10"/>
    </row>
    <row r="593" spans="3:13" ht="12.75">
      <c r="C593" s="92"/>
      <c r="D593" s="92"/>
      <c r="E593" s="92"/>
      <c r="F593" s="92"/>
      <c r="G593" s="92"/>
      <c r="H593" s="93"/>
      <c r="I593" s="90"/>
      <c r="J593" s="90"/>
      <c r="M593" s="10"/>
    </row>
    <row r="594" spans="3:13" ht="12.75">
      <c r="C594" s="92"/>
      <c r="D594" s="92"/>
      <c r="E594" s="92"/>
      <c r="F594" s="92"/>
      <c r="G594" s="92"/>
      <c r="H594" s="93"/>
      <c r="I594" s="90"/>
      <c r="J594" s="90"/>
      <c r="M594" s="10"/>
    </row>
    <row r="595" spans="3:13" ht="12.75">
      <c r="C595" s="92"/>
      <c r="D595" s="92"/>
      <c r="E595" s="92"/>
      <c r="F595" s="92"/>
      <c r="G595" s="92"/>
      <c r="H595" s="93"/>
      <c r="I595" s="90"/>
      <c r="J595" s="90"/>
      <c r="M595" s="10"/>
    </row>
    <row r="596" spans="3:13" ht="12.75">
      <c r="C596" s="92"/>
      <c r="D596" s="92"/>
      <c r="E596" s="92"/>
      <c r="F596" s="92"/>
      <c r="G596" s="92"/>
      <c r="H596" s="93"/>
      <c r="I596" s="90"/>
      <c r="J596" s="90"/>
      <c r="M596" s="10"/>
    </row>
    <row r="597" spans="3:13" ht="12.75">
      <c r="C597" s="92"/>
      <c r="D597" s="92"/>
      <c r="E597" s="92"/>
      <c r="F597" s="92"/>
      <c r="G597" s="92"/>
      <c r="H597" s="93"/>
      <c r="I597" s="90"/>
      <c r="J597" s="90"/>
      <c r="M597" s="10"/>
    </row>
    <row r="598" spans="3:13" ht="12.75">
      <c r="C598" s="92"/>
      <c r="D598" s="92"/>
      <c r="E598" s="92"/>
      <c r="F598" s="92"/>
      <c r="G598" s="92"/>
      <c r="H598" s="93"/>
      <c r="I598" s="90"/>
      <c r="J598" s="90"/>
      <c r="M598" s="10"/>
    </row>
    <row r="599" spans="3:13" ht="12.75">
      <c r="C599" s="92"/>
      <c r="D599" s="92"/>
      <c r="E599" s="92"/>
      <c r="F599" s="92"/>
      <c r="G599" s="92"/>
      <c r="H599" s="93"/>
      <c r="I599" s="90"/>
      <c r="J599" s="90"/>
      <c r="M599" s="10"/>
    </row>
    <row r="600" spans="3:13" ht="12.75">
      <c r="C600" s="92"/>
      <c r="D600" s="92"/>
      <c r="E600" s="92"/>
      <c r="F600" s="92"/>
      <c r="G600" s="92"/>
      <c r="H600" s="93"/>
      <c r="I600" s="90"/>
      <c r="J600" s="90"/>
      <c r="M600" s="10"/>
    </row>
    <row r="601" spans="3:13" ht="12.75">
      <c r="C601" s="92"/>
      <c r="D601" s="92"/>
      <c r="E601" s="92"/>
      <c r="F601" s="92"/>
      <c r="G601" s="92"/>
      <c r="H601" s="93"/>
      <c r="I601" s="90"/>
      <c r="J601" s="90"/>
      <c r="M601" s="10"/>
    </row>
    <row r="602" spans="3:13" ht="12.75">
      <c r="C602" s="92"/>
      <c r="D602" s="92"/>
      <c r="E602" s="92"/>
      <c r="F602" s="92"/>
      <c r="G602" s="92"/>
      <c r="H602" s="93"/>
      <c r="I602" s="90"/>
      <c r="J602" s="90"/>
      <c r="M602" s="10"/>
    </row>
    <row r="603" spans="3:13" ht="12.75">
      <c r="C603" s="92"/>
      <c r="D603" s="92"/>
      <c r="E603" s="92"/>
      <c r="F603" s="92"/>
      <c r="G603" s="92"/>
      <c r="H603" s="93"/>
      <c r="I603" s="90"/>
      <c r="J603" s="90"/>
      <c r="M603" s="10"/>
    </row>
    <row r="604" spans="3:13" ht="12.75">
      <c r="C604" s="92"/>
      <c r="D604" s="92"/>
      <c r="E604" s="92"/>
      <c r="F604" s="92"/>
      <c r="G604" s="92"/>
      <c r="H604" s="93"/>
      <c r="I604" s="90"/>
      <c r="J604" s="90"/>
      <c r="M604" s="10"/>
    </row>
    <row r="605" spans="3:13" ht="12.75">
      <c r="C605" s="92"/>
      <c r="D605" s="92"/>
      <c r="E605" s="92"/>
      <c r="F605" s="92"/>
      <c r="G605" s="92"/>
      <c r="H605" s="93"/>
      <c r="I605" s="90"/>
      <c r="J605" s="90"/>
      <c r="M605" s="10"/>
    </row>
    <row r="606" spans="3:13" ht="12.75">
      <c r="C606" s="92"/>
      <c r="D606" s="92"/>
      <c r="E606" s="92"/>
      <c r="F606" s="92"/>
      <c r="G606" s="92"/>
      <c r="H606" s="93"/>
      <c r="I606" s="90"/>
      <c r="J606" s="90"/>
      <c r="M606" s="10"/>
    </row>
    <row r="607" spans="3:13" ht="12.75">
      <c r="C607" s="92"/>
      <c r="D607" s="92"/>
      <c r="E607" s="92"/>
      <c r="F607" s="92"/>
      <c r="G607" s="92"/>
      <c r="H607" s="93"/>
      <c r="I607" s="90"/>
      <c r="J607" s="90"/>
      <c r="M607" s="10"/>
    </row>
    <row r="608" spans="3:13" ht="12.75">
      <c r="C608" s="92"/>
      <c r="D608" s="92"/>
      <c r="E608" s="92"/>
      <c r="F608" s="92"/>
      <c r="G608" s="92"/>
      <c r="H608" s="93"/>
      <c r="I608" s="90"/>
      <c r="J608" s="90"/>
      <c r="M608" s="10"/>
    </row>
    <row r="609" spans="3:13" ht="12.75">
      <c r="C609" s="92"/>
      <c r="D609" s="92"/>
      <c r="E609" s="92"/>
      <c r="F609" s="92"/>
      <c r="G609" s="92"/>
      <c r="H609" s="93"/>
      <c r="I609" s="90"/>
      <c r="J609" s="90"/>
      <c r="M609" s="10"/>
    </row>
    <row r="610" spans="3:13" ht="12.75">
      <c r="C610" s="92"/>
      <c r="D610" s="92"/>
      <c r="E610" s="92"/>
      <c r="F610" s="92"/>
      <c r="G610" s="92"/>
      <c r="H610" s="93"/>
      <c r="I610" s="90"/>
      <c r="J610" s="90"/>
      <c r="M610" s="10"/>
    </row>
    <row r="611" spans="3:13" ht="12.75">
      <c r="C611" s="92"/>
      <c r="D611" s="92"/>
      <c r="E611" s="92"/>
      <c r="F611" s="92"/>
      <c r="G611" s="92"/>
      <c r="H611" s="93"/>
      <c r="I611" s="90"/>
      <c r="J611" s="90"/>
      <c r="M611" s="10"/>
    </row>
    <row r="612" spans="3:13" ht="12.75">
      <c r="C612" s="92"/>
      <c r="D612" s="92"/>
      <c r="E612" s="92"/>
      <c r="F612" s="92"/>
      <c r="G612" s="92"/>
      <c r="H612" s="93"/>
      <c r="I612" s="90"/>
      <c r="J612" s="90"/>
      <c r="M612" s="10"/>
    </row>
    <row r="613" spans="3:13" ht="12.75">
      <c r="C613" s="92"/>
      <c r="D613" s="92"/>
      <c r="E613" s="92"/>
      <c r="F613" s="92"/>
      <c r="G613" s="92"/>
      <c r="H613" s="93"/>
      <c r="I613" s="90"/>
      <c r="J613" s="90"/>
      <c r="M613" s="10"/>
    </row>
    <row r="614" spans="3:13" ht="12.75">
      <c r="C614" s="92"/>
      <c r="D614" s="92"/>
      <c r="E614" s="92"/>
      <c r="F614" s="92"/>
      <c r="G614" s="92"/>
      <c r="H614" s="93"/>
      <c r="I614" s="90"/>
      <c r="J614" s="90"/>
      <c r="M614" s="10"/>
    </row>
    <row r="615" spans="3:13" ht="12.75">
      <c r="C615" s="92"/>
      <c r="D615" s="92"/>
      <c r="E615" s="92"/>
      <c r="F615" s="92"/>
      <c r="G615" s="92"/>
      <c r="H615" s="93"/>
      <c r="I615" s="90"/>
      <c r="J615" s="90"/>
      <c r="M615" s="10"/>
    </row>
    <row r="616" spans="3:13" ht="12.75">
      <c r="C616" s="92"/>
      <c r="D616" s="92"/>
      <c r="E616" s="92"/>
      <c r="F616" s="92"/>
      <c r="G616" s="92"/>
      <c r="H616" s="93"/>
      <c r="I616" s="90"/>
      <c r="J616" s="90"/>
      <c r="M616" s="10"/>
    </row>
    <row r="617" spans="3:13" ht="12.75">
      <c r="C617" s="92"/>
      <c r="D617" s="92"/>
      <c r="E617" s="92"/>
      <c r="F617" s="92"/>
      <c r="G617" s="92"/>
      <c r="H617" s="93"/>
      <c r="I617" s="90"/>
      <c r="J617" s="90"/>
      <c r="M617" s="10"/>
    </row>
    <row r="618" spans="3:13" ht="12.75">
      <c r="C618" s="92"/>
      <c r="D618" s="92"/>
      <c r="E618" s="92"/>
      <c r="F618" s="92"/>
      <c r="G618" s="92"/>
      <c r="H618" s="93"/>
      <c r="I618" s="90"/>
      <c r="J618" s="90"/>
      <c r="M618" s="10"/>
    </row>
    <row r="619" spans="3:13" ht="12.75">
      <c r="C619" s="92"/>
      <c r="D619" s="92"/>
      <c r="E619" s="92"/>
      <c r="F619" s="92"/>
      <c r="G619" s="92"/>
      <c r="H619" s="93"/>
      <c r="I619" s="90"/>
      <c r="J619" s="90"/>
      <c r="M619" s="10"/>
    </row>
    <row r="620" spans="3:13" ht="12.75">
      <c r="C620" s="92"/>
      <c r="D620" s="92"/>
      <c r="E620" s="92"/>
      <c r="F620" s="92"/>
      <c r="G620" s="92"/>
      <c r="H620" s="93"/>
      <c r="I620" s="90"/>
      <c r="J620" s="90"/>
      <c r="M620" s="10"/>
    </row>
    <row r="621" spans="3:13" ht="12.75">
      <c r="C621" s="92"/>
      <c r="D621" s="92"/>
      <c r="E621" s="92"/>
      <c r="F621" s="92"/>
      <c r="G621" s="92"/>
      <c r="H621" s="93"/>
      <c r="I621" s="90"/>
      <c r="J621" s="90"/>
      <c r="M621" s="10"/>
    </row>
    <row r="622" spans="3:13" ht="12.75">
      <c r="C622" s="92"/>
      <c r="D622" s="92"/>
      <c r="E622" s="92"/>
      <c r="F622" s="92"/>
      <c r="G622" s="92"/>
      <c r="H622" s="93"/>
      <c r="I622" s="90"/>
      <c r="J622" s="90"/>
      <c r="M622" s="10"/>
    </row>
    <row r="623" spans="3:13" ht="12.75">
      <c r="C623" s="92"/>
      <c r="D623" s="92"/>
      <c r="E623" s="92"/>
      <c r="F623" s="92"/>
      <c r="G623" s="92"/>
      <c r="H623" s="93"/>
      <c r="I623" s="90"/>
      <c r="J623" s="90"/>
      <c r="M623" s="10"/>
    </row>
    <row r="624" spans="3:13" ht="12.75">
      <c r="C624" s="92"/>
      <c r="D624" s="92"/>
      <c r="E624" s="92"/>
      <c r="F624" s="92"/>
      <c r="G624" s="92"/>
      <c r="H624" s="93"/>
      <c r="I624" s="90"/>
      <c r="J624" s="90"/>
      <c r="M624" s="10"/>
    </row>
    <row r="625" spans="3:13" ht="12.75">
      <c r="C625" s="92"/>
      <c r="D625" s="92"/>
      <c r="E625" s="92"/>
      <c r="F625" s="92"/>
      <c r="G625" s="92"/>
      <c r="H625" s="93"/>
      <c r="I625" s="90"/>
      <c r="J625" s="90"/>
      <c r="M625" s="10"/>
    </row>
    <row r="626" spans="3:13" ht="12.75">
      <c r="C626" s="92"/>
      <c r="D626" s="92"/>
      <c r="E626" s="92"/>
      <c r="F626" s="92"/>
      <c r="G626" s="92"/>
      <c r="H626" s="93"/>
      <c r="I626" s="90"/>
      <c r="J626" s="90"/>
      <c r="M626" s="10"/>
    </row>
    <row r="627" spans="3:13" ht="12.75">
      <c r="C627" s="92"/>
      <c r="D627" s="92"/>
      <c r="E627" s="92"/>
      <c r="F627" s="92"/>
      <c r="G627" s="92"/>
      <c r="H627" s="93"/>
      <c r="I627" s="90"/>
      <c r="J627" s="90"/>
      <c r="M627" s="10"/>
    </row>
    <row r="628" spans="3:13" ht="12.75">
      <c r="C628" s="92"/>
      <c r="D628" s="92"/>
      <c r="E628" s="92"/>
      <c r="F628" s="92"/>
      <c r="G628" s="92"/>
      <c r="H628" s="93"/>
      <c r="I628" s="90"/>
      <c r="J628" s="90"/>
      <c r="M628" s="10"/>
    </row>
    <row r="629" spans="3:13" ht="12.75">
      <c r="C629" s="92"/>
      <c r="D629" s="92"/>
      <c r="E629" s="92"/>
      <c r="F629" s="92"/>
      <c r="G629" s="92"/>
      <c r="H629" s="93"/>
      <c r="I629" s="90"/>
      <c r="J629" s="90"/>
      <c r="M629" s="10"/>
    </row>
    <row r="630" spans="3:13" ht="12.75">
      <c r="C630" s="92"/>
      <c r="D630" s="92"/>
      <c r="E630" s="92"/>
      <c r="F630" s="92"/>
      <c r="G630" s="92"/>
      <c r="H630" s="93"/>
      <c r="I630" s="90"/>
      <c r="J630" s="90"/>
      <c r="M630" s="10"/>
    </row>
    <row r="631" spans="3:13" ht="12.75">
      <c r="C631" s="92"/>
      <c r="D631" s="92"/>
      <c r="E631" s="92"/>
      <c r="F631" s="92"/>
      <c r="G631" s="92"/>
      <c r="H631" s="93"/>
      <c r="I631" s="90"/>
      <c r="J631" s="90"/>
      <c r="M631" s="10"/>
    </row>
    <row r="632" spans="3:13" ht="12.75">
      <c r="C632" s="92"/>
      <c r="D632" s="92"/>
      <c r="E632" s="92"/>
      <c r="F632" s="92"/>
      <c r="G632" s="92"/>
      <c r="H632" s="93"/>
      <c r="I632" s="90"/>
      <c r="J632" s="90"/>
      <c r="M632" s="10"/>
    </row>
    <row r="633" spans="3:13" ht="12.75">
      <c r="C633" s="92"/>
      <c r="D633" s="92"/>
      <c r="E633" s="92"/>
      <c r="F633" s="92"/>
      <c r="G633" s="92"/>
      <c r="H633" s="93"/>
      <c r="I633" s="90"/>
      <c r="J633" s="90"/>
      <c r="M633" s="10"/>
    </row>
    <row r="634" spans="3:13" ht="12.75">
      <c r="C634" s="92"/>
      <c r="D634" s="92"/>
      <c r="E634" s="92"/>
      <c r="F634" s="92"/>
      <c r="G634" s="92"/>
      <c r="H634" s="93"/>
      <c r="I634" s="90"/>
      <c r="J634" s="90"/>
      <c r="M634" s="10"/>
    </row>
    <row r="635" spans="3:13" ht="12.75">
      <c r="C635" s="92"/>
      <c r="D635" s="92"/>
      <c r="E635" s="92"/>
      <c r="F635" s="92"/>
      <c r="G635" s="92"/>
      <c r="H635" s="93"/>
      <c r="I635" s="90"/>
      <c r="J635" s="90"/>
      <c r="M635" s="10"/>
    </row>
    <row r="636" spans="3:13" ht="12.75">
      <c r="C636" s="92"/>
      <c r="D636" s="92"/>
      <c r="E636" s="92"/>
      <c r="F636" s="92"/>
      <c r="G636" s="92"/>
      <c r="H636" s="93"/>
      <c r="I636" s="90"/>
      <c r="J636" s="90"/>
      <c r="M636" s="10"/>
    </row>
    <row r="637" spans="3:13" ht="12.75">
      <c r="C637" s="92"/>
      <c r="D637" s="92"/>
      <c r="E637" s="92"/>
      <c r="F637" s="92"/>
      <c r="G637" s="92"/>
      <c r="H637" s="93"/>
      <c r="I637" s="90"/>
      <c r="J637" s="90"/>
      <c r="M637" s="10"/>
    </row>
    <row r="638" spans="3:13" ht="12.75">
      <c r="C638" s="92"/>
      <c r="D638" s="92"/>
      <c r="E638" s="92"/>
      <c r="F638" s="92"/>
      <c r="G638" s="92"/>
      <c r="H638" s="93"/>
      <c r="I638" s="90"/>
      <c r="J638" s="90"/>
      <c r="M638" s="10"/>
    </row>
    <row r="639" spans="3:13" ht="12.75">
      <c r="C639" s="92"/>
      <c r="D639" s="92"/>
      <c r="E639" s="92"/>
      <c r="F639" s="92"/>
      <c r="G639" s="92"/>
      <c r="H639" s="93"/>
      <c r="I639" s="90"/>
      <c r="J639" s="90"/>
      <c r="M639" s="10"/>
    </row>
    <row r="640" spans="3:13" ht="12.75">
      <c r="C640" s="92"/>
      <c r="D640" s="92"/>
      <c r="E640" s="92"/>
      <c r="F640" s="92"/>
      <c r="G640" s="92"/>
      <c r="H640" s="93"/>
      <c r="I640" s="90"/>
      <c r="J640" s="90"/>
      <c r="M640" s="10"/>
    </row>
    <row r="641" spans="3:13" ht="12.75">
      <c r="C641" s="92"/>
      <c r="D641" s="92"/>
      <c r="E641" s="92"/>
      <c r="F641" s="92"/>
      <c r="G641" s="92"/>
      <c r="H641" s="93"/>
      <c r="I641" s="90"/>
      <c r="J641" s="90"/>
      <c r="M641" s="10"/>
    </row>
    <row r="642" spans="3:13" ht="12.75">
      <c r="C642" s="92"/>
      <c r="D642" s="92"/>
      <c r="E642" s="92"/>
      <c r="F642" s="92"/>
      <c r="G642" s="92"/>
      <c r="H642" s="93"/>
      <c r="I642" s="90"/>
      <c r="J642" s="90"/>
      <c r="M642" s="10"/>
    </row>
    <row r="643" spans="3:13" ht="12.75">
      <c r="C643" s="92"/>
      <c r="D643" s="92"/>
      <c r="E643" s="92"/>
      <c r="F643" s="92"/>
      <c r="G643" s="92"/>
      <c r="H643" s="93"/>
      <c r="I643" s="90"/>
      <c r="J643" s="90"/>
      <c r="M643" s="10"/>
    </row>
    <row r="644" spans="3:13" ht="12.75">
      <c r="C644" s="92"/>
      <c r="D644" s="92"/>
      <c r="E644" s="92"/>
      <c r="F644" s="92"/>
      <c r="G644" s="92"/>
      <c r="H644" s="93"/>
      <c r="I644" s="90"/>
      <c r="J644" s="90"/>
      <c r="M644" s="10"/>
    </row>
    <row r="645" spans="3:13" ht="12.75">
      <c r="C645" s="92"/>
      <c r="D645" s="92"/>
      <c r="E645" s="92"/>
      <c r="F645" s="92"/>
      <c r="G645" s="92"/>
      <c r="H645" s="93"/>
      <c r="I645" s="90"/>
      <c r="J645" s="90"/>
      <c r="M645" s="10"/>
    </row>
    <row r="646" spans="3:13" ht="12.75">
      <c r="C646" s="92"/>
      <c r="D646" s="92"/>
      <c r="E646" s="92"/>
      <c r="F646" s="92"/>
      <c r="G646" s="92"/>
      <c r="H646" s="93"/>
      <c r="I646" s="90"/>
      <c r="J646" s="90"/>
      <c r="M646" s="10"/>
    </row>
    <row r="647" spans="3:13" ht="12.75">
      <c r="C647" s="92"/>
      <c r="D647" s="92"/>
      <c r="E647" s="92"/>
      <c r="F647" s="92"/>
      <c r="G647" s="92"/>
      <c r="H647" s="93"/>
      <c r="I647" s="90"/>
      <c r="J647" s="90"/>
      <c r="M647" s="10"/>
    </row>
    <row r="648" spans="3:13" ht="12.75">
      <c r="C648" s="92"/>
      <c r="D648" s="92"/>
      <c r="E648" s="92"/>
      <c r="F648" s="92"/>
      <c r="G648" s="92"/>
      <c r="H648" s="93"/>
      <c r="I648" s="90"/>
      <c r="J648" s="90"/>
      <c r="M648" s="10"/>
    </row>
    <row r="649" spans="3:13" ht="12.75">
      <c r="C649" s="92"/>
      <c r="D649" s="92"/>
      <c r="E649" s="92"/>
      <c r="F649" s="92"/>
      <c r="G649" s="92"/>
      <c r="H649" s="93"/>
      <c r="I649" s="90"/>
      <c r="J649" s="90"/>
      <c r="M649" s="10"/>
    </row>
    <row r="650" spans="3:13" ht="12.75">
      <c r="C650" s="92"/>
      <c r="D650" s="92"/>
      <c r="E650" s="92"/>
      <c r="F650" s="92"/>
      <c r="G650" s="92"/>
      <c r="H650" s="93"/>
      <c r="I650" s="90"/>
      <c r="J650" s="90"/>
      <c r="M650" s="10"/>
    </row>
    <row r="651" spans="3:13" ht="12.75">
      <c r="C651" s="92"/>
      <c r="D651" s="92"/>
      <c r="E651" s="92"/>
      <c r="F651" s="92"/>
      <c r="G651" s="92"/>
      <c r="H651" s="93"/>
      <c r="I651" s="90"/>
      <c r="J651" s="90"/>
      <c r="M651" s="10"/>
    </row>
    <row r="652" spans="3:13" ht="12.75">
      <c r="C652" s="92"/>
      <c r="D652" s="92"/>
      <c r="E652" s="92"/>
      <c r="F652" s="92"/>
      <c r="G652" s="92"/>
      <c r="H652" s="93"/>
      <c r="I652" s="90"/>
      <c r="J652" s="90"/>
      <c r="M652" s="10"/>
    </row>
    <row r="653" spans="3:13" ht="12.75">
      <c r="C653" s="92"/>
      <c r="D653" s="92"/>
      <c r="E653" s="92"/>
      <c r="F653" s="92"/>
      <c r="G653" s="92"/>
      <c r="H653" s="93"/>
      <c r="I653" s="90"/>
      <c r="J653" s="90"/>
      <c r="M653" s="10"/>
    </row>
    <row r="654" spans="3:13" ht="12.75">
      <c r="C654" s="92"/>
      <c r="D654" s="92"/>
      <c r="E654" s="92"/>
      <c r="F654" s="92"/>
      <c r="G654" s="92"/>
      <c r="H654" s="93"/>
      <c r="I654" s="90"/>
      <c r="J654" s="90"/>
      <c r="M654" s="10"/>
    </row>
    <row r="655" spans="3:13" ht="12.75">
      <c r="C655" s="92"/>
      <c r="D655" s="92"/>
      <c r="E655" s="92"/>
      <c r="F655" s="92"/>
      <c r="G655" s="92"/>
      <c r="H655" s="93"/>
      <c r="I655" s="90"/>
      <c r="J655" s="90"/>
      <c r="M655" s="10"/>
    </row>
    <row r="656" spans="3:13" ht="12.75">
      <c r="C656" s="92"/>
      <c r="D656" s="92"/>
      <c r="E656" s="92"/>
      <c r="F656" s="92"/>
      <c r="G656" s="92"/>
      <c r="H656" s="93"/>
      <c r="I656" s="90"/>
      <c r="J656" s="90"/>
      <c r="M656" s="10"/>
    </row>
    <row r="657" spans="3:13" ht="12.75">
      <c r="C657" s="92"/>
      <c r="D657" s="92"/>
      <c r="E657" s="92"/>
      <c r="F657" s="92"/>
      <c r="G657" s="92"/>
      <c r="H657" s="93"/>
      <c r="I657" s="90"/>
      <c r="J657" s="90"/>
      <c r="M657" s="10"/>
    </row>
    <row r="658" spans="3:13" ht="12.75">
      <c r="C658" s="92"/>
      <c r="D658" s="92"/>
      <c r="E658" s="92"/>
      <c r="F658" s="92"/>
      <c r="G658" s="92"/>
      <c r="H658" s="93"/>
      <c r="I658" s="90"/>
      <c r="J658" s="90"/>
      <c r="M658" s="10"/>
    </row>
    <row r="659" spans="3:13" ht="12.75">
      <c r="C659" s="92"/>
      <c r="D659" s="92"/>
      <c r="E659" s="92"/>
      <c r="F659" s="92"/>
      <c r="G659" s="92"/>
      <c r="H659" s="93"/>
      <c r="I659" s="90"/>
      <c r="J659" s="90"/>
      <c r="M659" s="10"/>
    </row>
    <row r="660" spans="3:13" ht="12.75">
      <c r="C660" s="92"/>
      <c r="D660" s="92"/>
      <c r="E660" s="92"/>
      <c r="F660" s="92"/>
      <c r="G660" s="92"/>
      <c r="H660" s="93"/>
      <c r="I660" s="90"/>
      <c r="J660" s="90"/>
      <c r="M660" s="10"/>
    </row>
    <row r="661" spans="3:13" ht="12.75">
      <c r="C661" s="92"/>
      <c r="D661" s="92"/>
      <c r="E661" s="92"/>
      <c r="F661" s="92"/>
      <c r="G661" s="92"/>
      <c r="H661" s="93"/>
      <c r="I661" s="90"/>
      <c r="J661" s="90"/>
      <c r="M661" s="10"/>
    </row>
    <row r="662" spans="3:13" ht="12.75">
      <c r="C662" s="92"/>
      <c r="D662" s="92"/>
      <c r="E662" s="92"/>
      <c r="F662" s="92"/>
      <c r="G662" s="92"/>
      <c r="H662" s="93"/>
      <c r="I662" s="90"/>
      <c r="J662" s="90"/>
      <c r="M662" s="10"/>
    </row>
    <row r="663" spans="3:13" ht="12.75">
      <c r="C663" s="92"/>
      <c r="D663" s="92"/>
      <c r="E663" s="92"/>
      <c r="F663" s="92"/>
      <c r="G663" s="92"/>
      <c r="H663" s="93"/>
      <c r="I663" s="90"/>
      <c r="J663" s="90"/>
      <c r="M663" s="10"/>
    </row>
    <row r="664" spans="3:13" ht="12.75">
      <c r="C664" s="92"/>
      <c r="D664" s="92"/>
      <c r="E664" s="92"/>
      <c r="F664" s="92"/>
      <c r="G664" s="92"/>
      <c r="H664" s="93"/>
      <c r="I664" s="90"/>
      <c r="J664" s="90"/>
      <c r="M664" s="10"/>
    </row>
    <row r="665" spans="3:13" ht="12.75">
      <c r="C665" s="92"/>
      <c r="D665" s="92"/>
      <c r="E665" s="92"/>
      <c r="F665" s="92"/>
      <c r="G665" s="92"/>
      <c r="H665" s="93"/>
      <c r="I665" s="90"/>
      <c r="J665" s="90"/>
      <c r="M665" s="10"/>
    </row>
    <row r="666" spans="3:13" ht="12.75">
      <c r="C666" s="92"/>
      <c r="D666" s="92"/>
      <c r="E666" s="92"/>
      <c r="F666" s="92"/>
      <c r="G666" s="92"/>
      <c r="H666" s="93"/>
      <c r="I666" s="90"/>
      <c r="J666" s="90"/>
      <c r="M666" s="10"/>
    </row>
    <row r="667" spans="3:13" ht="12.75">
      <c r="C667" s="92"/>
      <c r="D667" s="92"/>
      <c r="E667" s="92"/>
      <c r="F667" s="92"/>
      <c r="G667" s="92"/>
      <c r="H667" s="93"/>
      <c r="I667" s="90"/>
      <c r="J667" s="90"/>
      <c r="M667" s="10"/>
    </row>
    <row r="668" spans="3:13" ht="12.75">
      <c r="C668" s="92"/>
      <c r="D668" s="92"/>
      <c r="E668" s="92"/>
      <c r="F668" s="92"/>
      <c r="G668" s="92"/>
      <c r="H668" s="93"/>
      <c r="I668" s="90"/>
      <c r="J668" s="90"/>
      <c r="M668" s="10"/>
    </row>
    <row r="669" spans="3:13" ht="12.75">
      <c r="C669" s="92"/>
      <c r="D669" s="92"/>
      <c r="E669" s="92"/>
      <c r="F669" s="92"/>
      <c r="G669" s="92"/>
      <c r="H669" s="93"/>
      <c r="I669" s="90"/>
      <c r="J669" s="90"/>
      <c r="M669" s="10"/>
    </row>
    <row r="670" spans="3:13" ht="12.75">
      <c r="C670" s="92"/>
      <c r="D670" s="92"/>
      <c r="E670" s="92"/>
      <c r="F670" s="92"/>
      <c r="G670" s="92"/>
      <c r="H670" s="93"/>
      <c r="I670" s="90"/>
      <c r="J670" s="90"/>
      <c r="M670" s="10"/>
    </row>
    <row r="671" spans="3:13" ht="12.75">
      <c r="C671" s="92"/>
      <c r="D671" s="92"/>
      <c r="E671" s="92"/>
      <c r="F671" s="92"/>
      <c r="G671" s="92"/>
      <c r="H671" s="93"/>
      <c r="I671" s="90"/>
      <c r="J671" s="90"/>
      <c r="M671" s="10"/>
    </row>
    <row r="672" spans="3:13" ht="12.75">
      <c r="C672" s="92"/>
      <c r="D672" s="92"/>
      <c r="E672" s="92"/>
      <c r="F672" s="92"/>
      <c r="G672" s="92"/>
      <c r="H672" s="93"/>
      <c r="I672" s="90"/>
      <c r="J672" s="90"/>
      <c r="M672" s="10"/>
    </row>
    <row r="673" spans="3:13" ht="12.75">
      <c r="C673" s="92"/>
      <c r="D673" s="92"/>
      <c r="E673" s="92"/>
      <c r="F673" s="92"/>
      <c r="G673" s="92"/>
      <c r="H673" s="93"/>
      <c r="I673" s="90"/>
      <c r="J673" s="90"/>
      <c r="M673" s="10"/>
    </row>
    <row r="674" spans="3:13" ht="12.75">
      <c r="C674" s="92"/>
      <c r="D674" s="92"/>
      <c r="E674" s="92"/>
      <c r="F674" s="92"/>
      <c r="G674" s="92"/>
      <c r="H674" s="93"/>
      <c r="I674" s="90"/>
      <c r="J674" s="90"/>
      <c r="M674" s="10"/>
    </row>
    <row r="675" spans="3:13" ht="12.75">
      <c r="C675" s="92"/>
      <c r="D675" s="92"/>
      <c r="E675" s="92"/>
      <c r="F675" s="92"/>
      <c r="G675" s="92"/>
      <c r="H675" s="93"/>
      <c r="I675" s="90"/>
      <c r="J675" s="90"/>
      <c r="M675" s="10"/>
    </row>
    <row r="676" spans="3:13" ht="12.75">
      <c r="C676" s="92"/>
      <c r="D676" s="92"/>
      <c r="E676" s="92"/>
      <c r="F676" s="92"/>
      <c r="G676" s="92"/>
      <c r="H676" s="93"/>
      <c r="I676" s="90"/>
      <c r="J676" s="90"/>
      <c r="M676" s="10"/>
    </row>
    <row r="677" spans="3:13" ht="12.75">
      <c r="C677" s="92"/>
      <c r="D677" s="92"/>
      <c r="E677" s="92"/>
      <c r="F677" s="92"/>
      <c r="G677" s="92"/>
      <c r="H677" s="93"/>
      <c r="I677" s="90"/>
      <c r="J677" s="90"/>
      <c r="M677" s="10"/>
    </row>
    <row r="678" spans="3:13" ht="12.75">
      <c r="C678" s="92"/>
      <c r="D678" s="92"/>
      <c r="E678" s="92"/>
      <c r="F678" s="92"/>
      <c r="G678" s="92"/>
      <c r="H678" s="93"/>
      <c r="I678" s="90"/>
      <c r="J678" s="90"/>
      <c r="M678" s="10"/>
    </row>
    <row r="679" spans="3:13" ht="12.75">
      <c r="C679" s="92"/>
      <c r="D679" s="92"/>
      <c r="E679" s="92"/>
      <c r="F679" s="92"/>
      <c r="G679" s="92"/>
      <c r="H679" s="93"/>
      <c r="I679" s="90"/>
      <c r="J679" s="90"/>
      <c r="M679" s="10"/>
    </row>
    <row r="680" spans="3:13" ht="12.75">
      <c r="C680" s="92"/>
      <c r="D680" s="92"/>
      <c r="E680" s="92"/>
      <c r="F680" s="92"/>
      <c r="G680" s="92"/>
      <c r="H680" s="93"/>
      <c r="I680" s="90"/>
      <c r="J680" s="90"/>
      <c r="M680" s="10"/>
    </row>
    <row r="681" spans="3:13" ht="12.75">
      <c r="C681" s="92"/>
      <c r="D681" s="92"/>
      <c r="E681" s="92"/>
      <c r="F681" s="92"/>
      <c r="G681" s="92"/>
      <c r="H681" s="93"/>
      <c r="I681" s="90"/>
      <c r="J681" s="90"/>
      <c r="M681" s="10"/>
    </row>
    <row r="682" spans="3:13" ht="12.75">
      <c r="C682" s="92"/>
      <c r="D682" s="92"/>
      <c r="E682" s="92"/>
      <c r="F682" s="92"/>
      <c r="G682" s="92"/>
      <c r="H682" s="93"/>
      <c r="I682" s="90"/>
      <c r="J682" s="90"/>
      <c r="M682" s="10"/>
    </row>
    <row r="683" spans="3:13" ht="12.75">
      <c r="C683" s="92"/>
      <c r="D683" s="92"/>
      <c r="E683" s="92"/>
      <c r="F683" s="92"/>
      <c r="G683" s="92"/>
      <c r="H683" s="93"/>
      <c r="I683" s="90"/>
      <c r="J683" s="90"/>
      <c r="M683" s="10"/>
    </row>
    <row r="684" spans="3:13" ht="12.75">
      <c r="C684" s="92"/>
      <c r="D684" s="92"/>
      <c r="E684" s="92"/>
      <c r="F684" s="92"/>
      <c r="G684" s="92"/>
      <c r="H684" s="93"/>
      <c r="I684" s="90"/>
      <c r="J684" s="90"/>
      <c r="M684" s="10"/>
    </row>
    <row r="685" spans="3:13" ht="12.75">
      <c r="C685" s="92"/>
      <c r="D685" s="92"/>
      <c r="E685" s="92"/>
      <c r="F685" s="92"/>
      <c r="G685" s="92"/>
      <c r="H685" s="93"/>
      <c r="I685" s="90"/>
      <c r="J685" s="90"/>
      <c r="M685" s="10"/>
    </row>
    <row r="686" spans="3:13" ht="12.75">
      <c r="C686" s="92"/>
      <c r="D686" s="92"/>
      <c r="E686" s="92"/>
      <c r="F686" s="92"/>
      <c r="G686" s="92"/>
      <c r="H686" s="93"/>
      <c r="I686" s="90"/>
      <c r="J686" s="90"/>
      <c r="M686" s="10"/>
    </row>
    <row r="687" spans="3:13" ht="12.75">
      <c r="C687" s="92"/>
      <c r="D687" s="92"/>
      <c r="E687" s="92"/>
      <c r="F687" s="92"/>
      <c r="G687" s="92"/>
      <c r="H687" s="93"/>
      <c r="I687" s="90"/>
      <c r="J687" s="90"/>
      <c r="M687" s="10"/>
    </row>
    <row r="688" spans="3:13" ht="12.75">
      <c r="C688" s="92"/>
      <c r="D688" s="92"/>
      <c r="E688" s="92"/>
      <c r="F688" s="92"/>
      <c r="G688" s="92"/>
      <c r="H688" s="93"/>
      <c r="I688" s="90"/>
      <c r="J688" s="90"/>
      <c r="M688" s="10"/>
    </row>
    <row r="689" spans="3:13" ht="12.75">
      <c r="C689" s="92"/>
      <c r="D689" s="92"/>
      <c r="E689" s="92"/>
      <c r="F689" s="92"/>
      <c r="G689" s="92"/>
      <c r="H689" s="93"/>
      <c r="I689" s="90"/>
      <c r="J689" s="90"/>
      <c r="M689" s="10"/>
    </row>
    <row r="690" spans="3:13" ht="12.75">
      <c r="C690" s="92"/>
      <c r="D690" s="92"/>
      <c r="E690" s="92"/>
      <c r="F690" s="92"/>
      <c r="G690" s="92"/>
      <c r="H690" s="93"/>
      <c r="I690" s="90"/>
      <c r="J690" s="90"/>
      <c r="M690" s="10"/>
    </row>
    <row r="691" spans="3:13" ht="12.75">
      <c r="C691" s="92"/>
      <c r="D691" s="92"/>
      <c r="E691" s="92"/>
      <c r="F691" s="92"/>
      <c r="G691" s="92"/>
      <c r="H691" s="93"/>
      <c r="I691" s="90"/>
      <c r="J691" s="90"/>
      <c r="M691" s="10"/>
    </row>
    <row r="692" spans="3:13" ht="12.75">
      <c r="C692" s="92"/>
      <c r="D692" s="92"/>
      <c r="E692" s="92"/>
      <c r="F692" s="92"/>
      <c r="G692" s="92"/>
      <c r="H692" s="93"/>
      <c r="I692" s="90"/>
      <c r="J692" s="90"/>
      <c r="M692" s="10"/>
    </row>
    <row r="693" spans="3:13" ht="12.75">
      <c r="C693" s="92"/>
      <c r="D693" s="92"/>
      <c r="E693" s="92"/>
      <c r="F693" s="92"/>
      <c r="G693" s="92"/>
      <c r="H693" s="93"/>
      <c r="I693" s="90"/>
      <c r="J693" s="90"/>
      <c r="M693" s="10"/>
    </row>
    <row r="694" spans="3:13" ht="12.75">
      <c r="C694" s="92"/>
      <c r="D694" s="92"/>
      <c r="E694" s="92"/>
      <c r="F694" s="92"/>
      <c r="G694" s="92"/>
      <c r="H694" s="93"/>
      <c r="I694" s="90"/>
      <c r="J694" s="90"/>
      <c r="M694" s="10"/>
    </row>
    <row r="695" spans="3:13" ht="12.75">
      <c r="C695" s="92"/>
      <c r="D695" s="92"/>
      <c r="E695" s="92"/>
      <c r="F695" s="92"/>
      <c r="G695" s="92"/>
      <c r="H695" s="93"/>
      <c r="I695" s="90"/>
      <c r="J695" s="90"/>
      <c r="M695" s="10"/>
    </row>
    <row r="696" spans="3:13" ht="12.75">
      <c r="C696" s="92"/>
      <c r="D696" s="92"/>
      <c r="E696" s="92"/>
      <c r="F696" s="92"/>
      <c r="G696" s="92"/>
      <c r="H696" s="93"/>
      <c r="I696" s="90"/>
      <c r="J696" s="90"/>
      <c r="M696" s="10"/>
    </row>
    <row r="697" spans="3:13" ht="12.75">
      <c r="C697" s="92"/>
      <c r="D697" s="92"/>
      <c r="E697" s="92"/>
      <c r="F697" s="92"/>
      <c r="G697" s="92"/>
      <c r="H697" s="93"/>
      <c r="I697" s="90"/>
      <c r="J697" s="90"/>
      <c r="M697" s="10"/>
    </row>
    <row r="698" spans="3:13" ht="12.75">
      <c r="C698" s="92"/>
      <c r="D698" s="92"/>
      <c r="E698" s="92"/>
      <c r="F698" s="92"/>
      <c r="G698" s="92"/>
      <c r="H698" s="93"/>
      <c r="I698" s="90"/>
      <c r="J698" s="90"/>
      <c r="M698" s="10"/>
    </row>
    <row r="699" spans="3:13" ht="12.75">
      <c r="C699" s="92"/>
      <c r="D699" s="92"/>
      <c r="E699" s="92"/>
      <c r="F699" s="92"/>
      <c r="G699" s="92"/>
      <c r="H699" s="93"/>
      <c r="I699" s="90"/>
      <c r="J699" s="90"/>
      <c r="M699" s="10"/>
    </row>
    <row r="700" spans="3:13" ht="12.75">
      <c r="C700" s="92"/>
      <c r="D700" s="92"/>
      <c r="E700" s="92"/>
      <c r="F700" s="92"/>
      <c r="G700" s="92"/>
      <c r="H700" s="93"/>
      <c r="I700" s="90"/>
      <c r="J700" s="90"/>
      <c r="M700" s="10"/>
    </row>
    <row r="701" spans="3:13" ht="12.75">
      <c r="C701" s="92"/>
      <c r="D701" s="92"/>
      <c r="E701" s="92"/>
      <c r="F701" s="92"/>
      <c r="G701" s="92"/>
      <c r="H701" s="93"/>
      <c r="I701" s="90"/>
      <c r="J701" s="90"/>
      <c r="M701" s="10"/>
    </row>
    <row r="702" spans="3:13" ht="12.75">
      <c r="C702" s="92"/>
      <c r="D702" s="92"/>
      <c r="E702" s="92"/>
      <c r="F702" s="92"/>
      <c r="G702" s="92"/>
      <c r="H702" s="93"/>
      <c r="I702" s="90"/>
      <c r="J702" s="90"/>
      <c r="M702" s="10"/>
    </row>
    <row r="703" spans="3:13" ht="12.75">
      <c r="C703" s="92"/>
      <c r="D703" s="92"/>
      <c r="E703" s="92"/>
      <c r="F703" s="92"/>
      <c r="G703" s="92"/>
      <c r="H703" s="93"/>
      <c r="I703" s="90"/>
      <c r="J703" s="90"/>
      <c r="M703" s="10"/>
    </row>
    <row r="704" spans="3:13" ht="12.75">
      <c r="C704" s="92"/>
      <c r="D704" s="92"/>
      <c r="E704" s="92"/>
      <c r="F704" s="92"/>
      <c r="G704" s="92"/>
      <c r="H704" s="93"/>
      <c r="I704" s="90"/>
      <c r="J704" s="90"/>
      <c r="M704" s="10"/>
    </row>
    <row r="705" spans="3:13" ht="12.75">
      <c r="C705" s="92"/>
      <c r="D705" s="92"/>
      <c r="E705" s="92"/>
      <c r="F705" s="92"/>
      <c r="G705" s="92"/>
      <c r="H705" s="93"/>
      <c r="I705" s="90"/>
      <c r="J705" s="90"/>
      <c r="M705" s="10"/>
    </row>
    <row r="706" spans="3:13" ht="12.75">
      <c r="C706" s="92"/>
      <c r="D706" s="92"/>
      <c r="E706" s="92"/>
      <c r="F706" s="92"/>
      <c r="G706" s="92"/>
      <c r="H706" s="93"/>
      <c r="I706" s="90"/>
      <c r="J706" s="90"/>
      <c r="M706" s="10"/>
    </row>
    <row r="707" spans="3:13" ht="12.75">
      <c r="C707" s="92"/>
      <c r="D707" s="92"/>
      <c r="E707" s="92"/>
      <c r="F707" s="92"/>
      <c r="G707" s="92"/>
      <c r="H707" s="93"/>
      <c r="I707" s="90"/>
      <c r="J707" s="90"/>
      <c r="M707" s="10"/>
    </row>
    <row r="708" spans="3:13" ht="12.75">
      <c r="C708" s="92"/>
      <c r="D708" s="92"/>
      <c r="E708" s="92"/>
      <c r="F708" s="92"/>
      <c r="G708" s="92"/>
      <c r="H708" s="93"/>
      <c r="I708" s="90"/>
      <c r="J708" s="90"/>
      <c r="M708" s="10"/>
    </row>
    <row r="709" spans="3:13" ht="12.75">
      <c r="C709" s="92"/>
      <c r="D709" s="92"/>
      <c r="E709" s="92"/>
      <c r="F709" s="92"/>
      <c r="G709" s="92"/>
      <c r="H709" s="93"/>
      <c r="I709" s="90"/>
      <c r="J709" s="90"/>
      <c r="M709" s="10"/>
    </row>
    <row r="710" spans="3:13" ht="12.75">
      <c r="C710" s="92"/>
      <c r="D710" s="92"/>
      <c r="E710" s="92"/>
      <c r="F710" s="92"/>
      <c r="G710" s="92"/>
      <c r="H710" s="93"/>
      <c r="I710" s="90"/>
      <c r="J710" s="90"/>
      <c r="M710" s="10"/>
    </row>
    <row r="711" spans="3:13" ht="12.75">
      <c r="C711" s="92"/>
      <c r="D711" s="92"/>
      <c r="E711" s="92"/>
      <c r="F711" s="92"/>
      <c r="G711" s="92"/>
      <c r="H711" s="93"/>
      <c r="I711" s="90"/>
      <c r="J711" s="90"/>
      <c r="M711" s="10"/>
    </row>
    <row r="712" spans="3:13" ht="12.75">
      <c r="C712" s="92"/>
      <c r="D712" s="92"/>
      <c r="E712" s="92"/>
      <c r="F712" s="92"/>
      <c r="G712" s="92"/>
      <c r="H712" s="93"/>
      <c r="I712" s="90"/>
      <c r="J712" s="90"/>
      <c r="M712" s="10"/>
    </row>
    <row r="713" spans="3:13" ht="12.75">
      <c r="C713" s="92"/>
      <c r="D713" s="92"/>
      <c r="E713" s="92"/>
      <c r="F713" s="92"/>
      <c r="G713" s="92"/>
      <c r="H713" s="93"/>
      <c r="I713" s="90"/>
      <c r="J713" s="90"/>
      <c r="M713" s="10"/>
    </row>
    <row r="714" spans="3:13" ht="12.75">
      <c r="C714" s="92"/>
      <c r="D714" s="92"/>
      <c r="E714" s="92"/>
      <c r="F714" s="92"/>
      <c r="G714" s="92"/>
      <c r="H714" s="93"/>
      <c r="I714" s="90"/>
      <c r="J714" s="90"/>
      <c r="M714" s="10"/>
    </row>
    <row r="715" spans="3:13" ht="12.75">
      <c r="C715" s="92"/>
      <c r="D715" s="92"/>
      <c r="E715" s="92"/>
      <c r="F715" s="92"/>
      <c r="G715" s="92"/>
      <c r="H715" s="93"/>
      <c r="I715" s="90"/>
      <c r="J715" s="90"/>
      <c r="M715" s="10"/>
    </row>
    <row r="716" spans="3:13" ht="12.75">
      <c r="C716" s="92"/>
      <c r="D716" s="92"/>
      <c r="E716" s="92"/>
      <c r="F716" s="92"/>
      <c r="G716" s="92"/>
      <c r="H716" s="93"/>
      <c r="I716" s="90"/>
      <c r="J716" s="90"/>
      <c r="M716" s="10"/>
    </row>
    <row r="717" spans="3:13" ht="12.75">
      <c r="C717" s="92"/>
      <c r="D717" s="92"/>
      <c r="E717" s="92"/>
      <c r="F717" s="92"/>
      <c r="G717" s="92"/>
      <c r="H717" s="93"/>
      <c r="I717" s="90"/>
      <c r="J717" s="90"/>
      <c r="M717" s="10"/>
    </row>
    <row r="718" spans="3:13" ht="12.75">
      <c r="C718" s="92"/>
      <c r="D718" s="92"/>
      <c r="E718" s="92"/>
      <c r="F718" s="92"/>
      <c r="G718" s="92"/>
      <c r="H718" s="93"/>
      <c r="I718" s="90"/>
      <c r="J718" s="90"/>
      <c r="M718" s="10"/>
    </row>
    <row r="719" spans="3:13" ht="12.75">
      <c r="C719" s="92"/>
      <c r="D719" s="92"/>
      <c r="E719" s="92"/>
      <c r="F719" s="92"/>
      <c r="G719" s="92"/>
      <c r="H719" s="93"/>
      <c r="I719" s="90"/>
      <c r="J719" s="90"/>
      <c r="M719" s="10"/>
    </row>
    <row r="720" spans="3:13" ht="12.75">
      <c r="C720" s="92"/>
      <c r="D720" s="92"/>
      <c r="E720" s="92"/>
      <c r="F720" s="92"/>
      <c r="G720" s="92"/>
      <c r="H720" s="93"/>
      <c r="I720" s="90"/>
      <c r="J720" s="90"/>
      <c r="M720" s="10"/>
    </row>
    <row r="721" spans="3:13" ht="12.75">
      <c r="C721" s="92"/>
      <c r="D721" s="92"/>
      <c r="E721" s="92"/>
      <c r="F721" s="92"/>
      <c r="G721" s="92"/>
      <c r="H721" s="93"/>
      <c r="I721" s="90"/>
      <c r="J721" s="90"/>
      <c r="M721" s="10"/>
    </row>
    <row r="722" spans="3:13" ht="12.75">
      <c r="C722" s="92"/>
      <c r="D722" s="92"/>
      <c r="E722" s="92"/>
      <c r="F722" s="92"/>
      <c r="G722" s="92"/>
      <c r="H722" s="93"/>
      <c r="I722" s="90"/>
      <c r="J722" s="90"/>
      <c r="M722" s="10"/>
    </row>
    <row r="723" spans="3:13" ht="12.75">
      <c r="C723" s="92"/>
      <c r="D723" s="92"/>
      <c r="E723" s="92"/>
      <c r="F723" s="92"/>
      <c r="G723" s="92"/>
      <c r="H723" s="93"/>
      <c r="I723" s="90"/>
      <c r="J723" s="90"/>
      <c r="M723" s="10"/>
    </row>
    <row r="724" spans="3:13" ht="12.75">
      <c r="C724" s="92"/>
      <c r="D724" s="92"/>
      <c r="E724" s="92"/>
      <c r="F724" s="92"/>
      <c r="G724" s="92"/>
      <c r="H724" s="93"/>
      <c r="I724" s="90"/>
      <c r="J724" s="90"/>
      <c r="M724" s="10"/>
    </row>
    <row r="725" spans="3:13" ht="12.75">
      <c r="C725" s="92"/>
      <c r="D725" s="92"/>
      <c r="E725" s="92"/>
      <c r="F725" s="92"/>
      <c r="G725" s="92"/>
      <c r="H725" s="93"/>
      <c r="I725" s="90"/>
      <c r="J725" s="90"/>
      <c r="M725" s="10"/>
    </row>
    <row r="726" spans="3:13" ht="12.75">
      <c r="C726" s="92"/>
      <c r="D726" s="92"/>
      <c r="E726" s="92"/>
      <c r="F726" s="92"/>
      <c r="G726" s="92"/>
      <c r="H726" s="93"/>
      <c r="I726" s="90"/>
      <c r="J726" s="90"/>
      <c r="M726" s="10"/>
    </row>
    <row r="727" spans="3:13" ht="12.75">
      <c r="C727" s="92"/>
      <c r="D727" s="92"/>
      <c r="E727" s="92"/>
      <c r="F727" s="92"/>
      <c r="G727" s="92"/>
      <c r="H727" s="93"/>
      <c r="I727" s="90"/>
      <c r="J727" s="90"/>
      <c r="M727" s="10"/>
    </row>
    <row r="728" spans="3:13" ht="12.75">
      <c r="C728" s="92"/>
      <c r="D728" s="92"/>
      <c r="E728" s="92"/>
      <c r="F728" s="92"/>
      <c r="G728" s="92"/>
      <c r="H728" s="93"/>
      <c r="I728" s="90"/>
      <c r="J728" s="90"/>
      <c r="M728" s="10"/>
    </row>
    <row r="729" spans="3:13" ht="12.75">
      <c r="C729" s="92"/>
      <c r="D729" s="92"/>
      <c r="E729" s="92"/>
      <c r="F729" s="92"/>
      <c r="G729" s="92"/>
      <c r="H729" s="93"/>
      <c r="I729" s="90"/>
      <c r="J729" s="90"/>
      <c r="M729" s="10"/>
    </row>
    <row r="730" spans="3:13" ht="12.75">
      <c r="C730" s="92"/>
      <c r="D730" s="92"/>
      <c r="E730" s="92"/>
      <c r="F730" s="92"/>
      <c r="G730" s="92"/>
      <c r="H730" s="93"/>
      <c r="I730" s="90"/>
      <c r="J730" s="90"/>
      <c r="M730" s="10"/>
    </row>
    <row r="731" spans="3:13" ht="12.75">
      <c r="C731" s="92"/>
      <c r="D731" s="92"/>
      <c r="E731" s="92"/>
      <c r="F731" s="92"/>
      <c r="G731" s="92"/>
      <c r="H731" s="93"/>
      <c r="I731" s="90"/>
      <c r="J731" s="90"/>
      <c r="M731" s="10"/>
    </row>
    <row r="732" spans="3:13" ht="12.75">
      <c r="C732" s="92"/>
      <c r="D732" s="92"/>
      <c r="E732" s="92"/>
      <c r="F732" s="92"/>
      <c r="G732" s="92"/>
      <c r="H732" s="93"/>
      <c r="I732" s="90"/>
      <c r="J732" s="90"/>
      <c r="M732" s="10"/>
    </row>
    <row r="733" spans="3:13" ht="12.75">
      <c r="C733" s="92"/>
      <c r="D733" s="92"/>
      <c r="E733" s="92"/>
      <c r="F733" s="92"/>
      <c r="G733" s="92"/>
      <c r="H733" s="93"/>
      <c r="I733" s="90"/>
      <c r="J733" s="90"/>
      <c r="M733" s="10"/>
    </row>
    <row r="734" spans="3:13" ht="12.75">
      <c r="C734" s="92"/>
      <c r="D734" s="92"/>
      <c r="E734" s="92"/>
      <c r="F734" s="92"/>
      <c r="G734" s="92"/>
      <c r="H734" s="93"/>
      <c r="I734" s="90"/>
      <c r="J734" s="90"/>
      <c r="M734" s="10"/>
    </row>
    <row r="735" spans="3:13" ht="12.75">
      <c r="C735" s="92"/>
      <c r="D735" s="92"/>
      <c r="E735" s="92"/>
      <c r="F735" s="92"/>
      <c r="G735" s="92"/>
      <c r="H735" s="93"/>
      <c r="I735" s="90"/>
      <c r="J735" s="90"/>
      <c r="M735" s="10"/>
    </row>
    <row r="736" spans="3:13" ht="12.75">
      <c r="C736" s="92"/>
      <c r="D736" s="92"/>
      <c r="E736" s="92"/>
      <c r="F736" s="92"/>
      <c r="G736" s="92"/>
      <c r="H736" s="93"/>
      <c r="I736" s="90"/>
      <c r="J736" s="90"/>
      <c r="M736" s="10"/>
    </row>
    <row r="737" spans="3:13" ht="12.75">
      <c r="C737" s="92"/>
      <c r="D737" s="92"/>
      <c r="E737" s="92"/>
      <c r="F737" s="92"/>
      <c r="G737" s="92"/>
      <c r="H737" s="93"/>
      <c r="I737" s="90"/>
      <c r="J737" s="90"/>
      <c r="M737" s="10"/>
    </row>
    <row r="738" spans="3:13" ht="12.75">
      <c r="C738" s="92"/>
      <c r="D738" s="92"/>
      <c r="E738" s="92"/>
      <c r="F738" s="92"/>
      <c r="G738" s="92"/>
      <c r="H738" s="93"/>
      <c r="I738" s="90"/>
      <c r="J738" s="90"/>
      <c r="M738" s="10"/>
    </row>
    <row r="739" spans="3:13" ht="12.75">
      <c r="C739" s="92"/>
      <c r="D739" s="92"/>
      <c r="E739" s="92"/>
      <c r="F739" s="92"/>
      <c r="G739" s="92"/>
      <c r="H739" s="93"/>
      <c r="I739" s="90"/>
      <c r="J739" s="90"/>
      <c r="M739" s="10"/>
    </row>
    <row r="740" spans="3:13" ht="12.75">
      <c r="C740" s="92"/>
      <c r="D740" s="92"/>
      <c r="E740" s="92"/>
      <c r="F740" s="92"/>
      <c r="G740" s="92"/>
      <c r="H740" s="93"/>
      <c r="I740" s="90"/>
      <c r="J740" s="90"/>
      <c r="M740" s="10"/>
    </row>
    <row r="741" spans="3:13" ht="12.75">
      <c r="C741" s="92"/>
      <c r="D741" s="92"/>
      <c r="E741" s="92"/>
      <c r="F741" s="92"/>
      <c r="G741" s="92"/>
      <c r="H741" s="93"/>
      <c r="I741" s="90"/>
      <c r="J741" s="90"/>
      <c r="M741" s="10"/>
    </row>
    <row r="742" spans="3:13" ht="12.75">
      <c r="C742" s="92"/>
      <c r="D742" s="92"/>
      <c r="E742" s="92"/>
      <c r="F742" s="92"/>
      <c r="G742" s="92"/>
      <c r="H742" s="93"/>
      <c r="I742" s="90"/>
      <c r="J742" s="90"/>
      <c r="M742" s="10"/>
    </row>
    <row r="743" spans="3:13" ht="12.75">
      <c r="C743" s="92"/>
      <c r="D743" s="92"/>
      <c r="E743" s="92"/>
      <c r="F743" s="92"/>
      <c r="G743" s="92"/>
      <c r="H743" s="93"/>
      <c r="I743" s="90"/>
      <c r="J743" s="90"/>
      <c r="M743" s="10"/>
    </row>
    <row r="744" spans="3:13" ht="12.75">
      <c r="C744" s="92"/>
      <c r="D744" s="92"/>
      <c r="E744" s="92"/>
      <c r="F744" s="92"/>
      <c r="G744" s="92"/>
      <c r="H744" s="93"/>
      <c r="I744" s="90"/>
      <c r="J744" s="90"/>
      <c r="M744" s="10"/>
    </row>
    <row r="745" spans="3:13" ht="12.75">
      <c r="C745" s="92"/>
      <c r="D745" s="92"/>
      <c r="E745" s="92"/>
      <c r="F745" s="92"/>
      <c r="G745" s="92"/>
      <c r="H745" s="93"/>
      <c r="I745" s="90"/>
      <c r="J745" s="90"/>
      <c r="M745" s="10"/>
    </row>
    <row r="746" spans="3:13" ht="12.75">
      <c r="C746" s="92"/>
      <c r="D746" s="92"/>
      <c r="E746" s="92"/>
      <c r="F746" s="92"/>
      <c r="G746" s="92"/>
      <c r="H746" s="93"/>
      <c r="I746" s="90"/>
      <c r="J746" s="90"/>
      <c r="M746" s="10"/>
    </row>
    <row r="747" spans="3:13" ht="12.75">
      <c r="C747" s="92"/>
      <c r="D747" s="92"/>
      <c r="E747" s="92"/>
      <c r="F747" s="92"/>
      <c r="G747" s="92"/>
      <c r="H747" s="93"/>
      <c r="I747" s="90"/>
      <c r="J747" s="90"/>
      <c r="M747" s="10"/>
    </row>
    <row r="748" spans="3:13" ht="12.75">
      <c r="C748" s="92"/>
      <c r="D748" s="92"/>
      <c r="E748" s="92"/>
      <c r="F748" s="92"/>
      <c r="G748" s="92"/>
      <c r="H748" s="93"/>
      <c r="I748" s="90"/>
      <c r="J748" s="90"/>
      <c r="M748" s="10"/>
    </row>
    <row r="749" spans="3:13" ht="12.75">
      <c r="C749" s="92"/>
      <c r="D749" s="92"/>
      <c r="E749" s="92"/>
      <c r="F749" s="92"/>
      <c r="G749" s="92"/>
      <c r="H749" s="93"/>
      <c r="I749" s="90"/>
      <c r="J749" s="90"/>
      <c r="M749" s="10"/>
    </row>
    <row r="750" spans="3:13" ht="12.75">
      <c r="C750" s="92"/>
      <c r="D750" s="92"/>
      <c r="E750" s="92"/>
      <c r="F750" s="92"/>
      <c r="G750" s="92"/>
      <c r="H750" s="93"/>
      <c r="I750" s="90"/>
      <c r="J750" s="90"/>
      <c r="M750" s="10"/>
    </row>
    <row r="751" spans="3:13" ht="12.75">
      <c r="C751" s="92"/>
      <c r="D751" s="92"/>
      <c r="E751" s="92"/>
      <c r="F751" s="92"/>
      <c r="G751" s="92"/>
      <c r="H751" s="93"/>
      <c r="I751" s="90"/>
      <c r="J751" s="90"/>
      <c r="M751" s="10"/>
    </row>
    <row r="752" spans="3:13" ht="12.75">
      <c r="C752" s="92"/>
      <c r="D752" s="92"/>
      <c r="E752" s="92"/>
      <c r="F752" s="92"/>
      <c r="G752" s="92"/>
      <c r="H752" s="93"/>
      <c r="I752" s="90"/>
      <c r="J752" s="90"/>
      <c r="M752" s="10"/>
    </row>
    <row r="753" spans="3:13" ht="12.75">
      <c r="C753" s="92"/>
      <c r="D753" s="92"/>
      <c r="E753" s="92"/>
      <c r="F753" s="92"/>
      <c r="G753" s="92"/>
      <c r="H753" s="93"/>
      <c r="I753" s="90"/>
      <c r="J753" s="90"/>
      <c r="M753" s="10"/>
    </row>
    <row r="754" spans="3:13" ht="12.75">
      <c r="C754" s="92"/>
      <c r="D754" s="92"/>
      <c r="E754" s="92"/>
      <c r="F754" s="92"/>
      <c r="G754" s="92"/>
      <c r="H754" s="93"/>
      <c r="I754" s="90"/>
      <c r="J754" s="90"/>
      <c r="M754" s="10"/>
    </row>
    <row r="755" spans="3:13" ht="12.75">
      <c r="C755" s="92"/>
      <c r="D755" s="92"/>
      <c r="E755" s="92"/>
      <c r="F755" s="92"/>
      <c r="G755" s="92"/>
      <c r="H755" s="93"/>
      <c r="I755" s="90"/>
      <c r="J755" s="90"/>
      <c r="M755" s="10"/>
    </row>
    <row r="756" spans="3:13" ht="12.75">
      <c r="C756" s="92"/>
      <c r="D756" s="92"/>
      <c r="E756" s="92"/>
      <c r="F756" s="92"/>
      <c r="G756" s="92"/>
      <c r="H756" s="93"/>
      <c r="I756" s="90"/>
      <c r="J756" s="90"/>
      <c r="M756" s="10"/>
    </row>
    <row r="757" spans="3:13" ht="12.75">
      <c r="C757" s="92"/>
      <c r="D757" s="92"/>
      <c r="E757" s="92"/>
      <c r="F757" s="92"/>
      <c r="G757" s="92"/>
      <c r="H757" s="93"/>
      <c r="I757" s="90"/>
      <c r="J757" s="90"/>
      <c r="M757" s="10"/>
    </row>
    <row r="758" spans="3:13" ht="12.75">
      <c r="C758" s="92"/>
      <c r="D758" s="92"/>
      <c r="E758" s="92"/>
      <c r="F758" s="92"/>
      <c r="G758" s="92"/>
      <c r="H758" s="93"/>
      <c r="I758" s="90"/>
      <c r="J758" s="90"/>
      <c r="M758" s="10"/>
    </row>
    <row r="759" spans="3:13" ht="12.75">
      <c r="C759" s="92"/>
      <c r="D759" s="92"/>
      <c r="E759" s="92"/>
      <c r="F759" s="92"/>
      <c r="G759" s="92"/>
      <c r="H759" s="93"/>
      <c r="I759" s="90"/>
      <c r="J759" s="90"/>
      <c r="M759" s="10"/>
    </row>
    <row r="760" spans="3:13" ht="12.75">
      <c r="C760" s="92"/>
      <c r="D760" s="92"/>
      <c r="E760" s="92"/>
      <c r="F760" s="92"/>
      <c r="G760" s="92"/>
      <c r="H760" s="93"/>
      <c r="I760" s="90"/>
      <c r="J760" s="90"/>
      <c r="M760" s="10"/>
    </row>
    <row r="761" spans="3:13" ht="12.75">
      <c r="C761" s="92"/>
      <c r="D761" s="92"/>
      <c r="E761" s="92"/>
      <c r="F761" s="92"/>
      <c r="G761" s="92"/>
      <c r="H761" s="93"/>
      <c r="I761" s="90"/>
      <c r="J761" s="90"/>
      <c r="M761" s="10"/>
    </row>
    <row r="762" spans="3:13" ht="12.75">
      <c r="C762" s="92"/>
      <c r="D762" s="92"/>
      <c r="E762" s="92"/>
      <c r="F762" s="92"/>
      <c r="G762" s="92"/>
      <c r="H762" s="93"/>
      <c r="I762" s="90"/>
      <c r="J762" s="90"/>
      <c r="M762" s="10"/>
    </row>
    <row r="763" spans="3:13" ht="12.75">
      <c r="C763" s="92"/>
      <c r="D763" s="92"/>
      <c r="E763" s="92"/>
      <c r="F763" s="92"/>
      <c r="G763" s="92"/>
      <c r="H763" s="93"/>
      <c r="I763" s="90"/>
      <c r="J763" s="90"/>
      <c r="M763" s="10"/>
    </row>
    <row r="764" spans="3:13" ht="12.75">
      <c r="C764" s="92"/>
      <c r="D764" s="92"/>
      <c r="E764" s="92"/>
      <c r="F764" s="92"/>
      <c r="G764" s="92"/>
      <c r="H764" s="93"/>
      <c r="I764" s="90"/>
      <c r="J764" s="90"/>
      <c r="M764" s="10"/>
    </row>
    <row r="765" spans="3:13" ht="12.75">
      <c r="C765" s="92"/>
      <c r="D765" s="92"/>
      <c r="E765" s="92"/>
      <c r="F765" s="92"/>
      <c r="G765" s="92"/>
      <c r="H765" s="93"/>
      <c r="I765" s="90"/>
      <c r="J765" s="90"/>
      <c r="M765" s="10"/>
    </row>
    <row r="766" spans="3:13" ht="12.75">
      <c r="C766" s="92"/>
      <c r="D766" s="92"/>
      <c r="E766" s="92"/>
      <c r="F766" s="92"/>
      <c r="G766" s="92"/>
      <c r="H766" s="93"/>
      <c r="I766" s="90"/>
      <c r="J766" s="90"/>
      <c r="M766" s="10"/>
    </row>
    <row r="767" spans="3:13" ht="12.75">
      <c r="C767" s="92"/>
      <c r="D767" s="92"/>
      <c r="E767" s="92"/>
      <c r="F767" s="92"/>
      <c r="G767" s="92"/>
      <c r="H767" s="93"/>
      <c r="I767" s="90"/>
      <c r="J767" s="90"/>
      <c r="M767" s="10"/>
    </row>
    <row r="768" spans="3:13" ht="12.75">
      <c r="C768" s="92"/>
      <c r="D768" s="92"/>
      <c r="E768" s="92"/>
      <c r="F768" s="92"/>
      <c r="G768" s="92"/>
      <c r="H768" s="93"/>
      <c r="I768" s="90"/>
      <c r="J768" s="90"/>
      <c r="M768" s="10"/>
    </row>
    <row r="769" spans="3:13" ht="12.75">
      <c r="C769" s="92"/>
      <c r="D769" s="92"/>
      <c r="E769" s="92"/>
      <c r="F769" s="92"/>
      <c r="G769" s="92"/>
      <c r="H769" s="93"/>
      <c r="I769" s="90"/>
      <c r="J769" s="90"/>
      <c r="M769" s="10"/>
    </row>
    <row r="770" spans="3:13" ht="12.75">
      <c r="C770" s="92"/>
      <c r="D770" s="92"/>
      <c r="E770" s="92"/>
      <c r="F770" s="92"/>
      <c r="G770" s="92"/>
      <c r="H770" s="93"/>
      <c r="I770" s="90"/>
      <c r="J770" s="90"/>
      <c r="M770" s="10"/>
    </row>
    <row r="771" spans="3:13" ht="12.75">
      <c r="C771" s="92"/>
      <c r="D771" s="92"/>
      <c r="E771" s="92"/>
      <c r="F771" s="92"/>
      <c r="G771" s="92"/>
      <c r="H771" s="93"/>
      <c r="I771" s="90"/>
      <c r="J771" s="90"/>
      <c r="M771" s="10"/>
    </row>
    <row r="772" spans="3:13" ht="12.75">
      <c r="C772" s="92"/>
      <c r="D772" s="92"/>
      <c r="E772" s="92"/>
      <c r="F772" s="92"/>
      <c r="G772" s="92"/>
      <c r="H772" s="93"/>
      <c r="I772" s="90"/>
      <c r="J772" s="90"/>
      <c r="M772" s="10"/>
    </row>
    <row r="773" spans="3:13" ht="12.75">
      <c r="C773" s="92"/>
      <c r="D773" s="92"/>
      <c r="E773" s="92"/>
      <c r="F773" s="92"/>
      <c r="G773" s="92"/>
      <c r="H773" s="93"/>
      <c r="I773" s="90"/>
      <c r="J773" s="90"/>
      <c r="M773" s="10"/>
    </row>
    <row r="774" spans="3:13" ht="12.75">
      <c r="C774" s="92"/>
      <c r="D774" s="92"/>
      <c r="E774" s="92"/>
      <c r="F774" s="92"/>
      <c r="G774" s="92"/>
      <c r="H774" s="93"/>
      <c r="I774" s="90"/>
      <c r="J774" s="90"/>
      <c r="M774" s="10"/>
    </row>
    <row r="775" spans="3:13" ht="12.75">
      <c r="C775" s="92"/>
      <c r="D775" s="92"/>
      <c r="E775" s="92"/>
      <c r="F775" s="92"/>
      <c r="G775" s="92"/>
      <c r="H775" s="93"/>
      <c r="I775" s="90"/>
      <c r="J775" s="90"/>
      <c r="M775" s="10"/>
    </row>
    <row r="776" spans="3:13" ht="12.75">
      <c r="C776" s="92"/>
      <c r="D776" s="92"/>
      <c r="E776" s="92"/>
      <c r="F776" s="92"/>
      <c r="G776" s="92"/>
      <c r="H776" s="93"/>
      <c r="I776" s="90"/>
      <c r="J776" s="90"/>
      <c r="M776" s="10"/>
    </row>
    <row r="777" spans="3:13" ht="12.75">
      <c r="C777" s="92"/>
      <c r="D777" s="92"/>
      <c r="E777" s="92"/>
      <c r="F777" s="92"/>
      <c r="G777" s="92"/>
      <c r="H777" s="93"/>
      <c r="I777" s="90"/>
      <c r="J777" s="90"/>
      <c r="M777" s="10"/>
    </row>
    <row r="778" spans="3:13" ht="12.75">
      <c r="C778" s="92"/>
      <c r="D778" s="92"/>
      <c r="E778" s="92"/>
      <c r="F778" s="92"/>
      <c r="G778" s="92"/>
      <c r="H778" s="93"/>
      <c r="I778" s="90"/>
      <c r="J778" s="90"/>
      <c r="M778" s="10"/>
    </row>
    <row r="779" spans="3:13" ht="12.75">
      <c r="C779" s="92"/>
      <c r="D779" s="92"/>
      <c r="E779" s="92"/>
      <c r="F779" s="92"/>
      <c r="G779" s="92"/>
      <c r="H779" s="93"/>
      <c r="I779" s="90"/>
      <c r="J779" s="90"/>
      <c r="M779" s="10"/>
    </row>
    <row r="780" spans="3:13" ht="12.75">
      <c r="C780" s="92"/>
      <c r="D780" s="92"/>
      <c r="E780" s="92"/>
      <c r="F780" s="92"/>
      <c r="G780" s="92"/>
      <c r="H780" s="93"/>
      <c r="I780" s="90"/>
      <c r="J780" s="90"/>
      <c r="M780" s="10"/>
    </row>
    <row r="781" spans="3:13" ht="12.75">
      <c r="C781" s="92"/>
      <c r="D781" s="92"/>
      <c r="E781" s="92"/>
      <c r="F781" s="92"/>
      <c r="G781" s="92"/>
      <c r="H781" s="93"/>
      <c r="I781" s="90"/>
      <c r="J781" s="90"/>
      <c r="M781" s="10"/>
    </row>
    <row r="782" spans="3:13" ht="12.75">
      <c r="C782" s="92"/>
      <c r="D782" s="92"/>
      <c r="E782" s="92"/>
      <c r="F782" s="92"/>
      <c r="G782" s="92"/>
      <c r="H782" s="93"/>
      <c r="I782" s="90"/>
      <c r="J782" s="90"/>
      <c r="M782" s="10"/>
    </row>
    <row r="783" spans="3:13" ht="12.75">
      <c r="C783" s="92"/>
      <c r="D783" s="92"/>
      <c r="E783" s="92"/>
      <c r="F783" s="92"/>
      <c r="G783" s="92"/>
      <c r="H783" s="93"/>
      <c r="I783" s="90"/>
      <c r="J783" s="90"/>
      <c r="M783" s="10"/>
    </row>
    <row r="784" spans="3:13" ht="12.75">
      <c r="C784" s="92"/>
      <c r="D784" s="92"/>
      <c r="E784" s="92"/>
      <c r="F784" s="92"/>
      <c r="G784" s="92"/>
      <c r="H784" s="93"/>
      <c r="I784" s="90"/>
      <c r="J784" s="90"/>
      <c r="M784" s="10"/>
    </row>
    <row r="785" spans="3:13" ht="12.75">
      <c r="C785" s="92"/>
      <c r="D785" s="92"/>
      <c r="E785" s="92"/>
      <c r="F785" s="92"/>
      <c r="G785" s="92"/>
      <c r="H785" s="93"/>
      <c r="I785" s="90"/>
      <c r="J785" s="90"/>
      <c r="M785" s="10"/>
    </row>
    <row r="786" spans="3:13" ht="12.75">
      <c r="C786" s="92"/>
      <c r="D786" s="92"/>
      <c r="E786" s="92"/>
      <c r="F786" s="92"/>
      <c r="G786" s="92"/>
      <c r="H786" s="93"/>
      <c r="I786" s="90"/>
      <c r="J786" s="90"/>
      <c r="M786" s="10"/>
    </row>
    <row r="787" spans="3:13" ht="12.75">
      <c r="C787" s="92"/>
      <c r="D787" s="92"/>
      <c r="E787" s="92"/>
      <c r="F787" s="92"/>
      <c r="G787" s="92"/>
      <c r="H787" s="93"/>
      <c r="I787" s="90"/>
      <c r="J787" s="90"/>
      <c r="M787" s="10"/>
    </row>
    <row r="788" spans="3:13" ht="12.75">
      <c r="C788" s="92"/>
      <c r="D788" s="92"/>
      <c r="E788" s="92"/>
      <c r="F788" s="92"/>
      <c r="G788" s="92"/>
      <c r="H788" s="93"/>
      <c r="I788" s="90"/>
      <c r="J788" s="90"/>
      <c r="M788" s="10"/>
    </row>
    <row r="789" spans="3:13" ht="12.75">
      <c r="C789" s="92"/>
      <c r="D789" s="92"/>
      <c r="E789" s="92"/>
      <c r="F789" s="92"/>
      <c r="G789" s="92"/>
      <c r="H789" s="93"/>
      <c r="I789" s="90"/>
      <c r="J789" s="90"/>
      <c r="M789" s="10"/>
    </row>
    <row r="790" spans="3:13" ht="12.75">
      <c r="C790" s="92"/>
      <c r="D790" s="92"/>
      <c r="E790" s="92"/>
      <c r="F790" s="92"/>
      <c r="G790" s="92"/>
      <c r="H790" s="93"/>
      <c r="I790" s="90"/>
      <c r="J790" s="90"/>
      <c r="M790" s="10"/>
    </row>
    <row r="791" spans="3:13" ht="12.75">
      <c r="C791" s="92"/>
      <c r="D791" s="92"/>
      <c r="E791" s="92"/>
      <c r="F791" s="92"/>
      <c r="G791" s="92"/>
      <c r="H791" s="93"/>
      <c r="I791" s="90"/>
      <c r="J791" s="90"/>
      <c r="M791" s="10"/>
    </row>
    <row r="792" spans="3:13" ht="12.75">
      <c r="C792" s="92"/>
      <c r="D792" s="92"/>
      <c r="E792" s="92"/>
      <c r="F792" s="92"/>
      <c r="G792" s="92"/>
      <c r="H792" s="93"/>
      <c r="I792" s="90"/>
      <c r="J792" s="90"/>
      <c r="M792" s="10"/>
    </row>
    <row r="793" spans="3:13" ht="12.75">
      <c r="C793" s="92"/>
      <c r="D793" s="92"/>
      <c r="E793" s="92"/>
      <c r="F793" s="92"/>
      <c r="G793" s="92"/>
      <c r="H793" s="93"/>
      <c r="I793" s="90"/>
      <c r="J793" s="90"/>
      <c r="M793" s="10"/>
    </row>
    <row r="794" spans="3:13" ht="12.75">
      <c r="C794" s="92"/>
      <c r="D794" s="92"/>
      <c r="E794" s="92"/>
      <c r="F794" s="92"/>
      <c r="G794" s="92"/>
      <c r="H794" s="93"/>
      <c r="I794" s="90"/>
      <c r="J794" s="90"/>
      <c r="M794" s="10"/>
    </row>
    <row r="795" spans="3:13" ht="12.75">
      <c r="C795" s="92"/>
      <c r="D795" s="92"/>
      <c r="E795" s="92"/>
      <c r="F795" s="92"/>
      <c r="G795" s="92"/>
      <c r="H795" s="93"/>
      <c r="I795" s="90"/>
      <c r="J795" s="90"/>
      <c r="M795" s="10"/>
    </row>
    <row r="796" spans="3:13" ht="12.75">
      <c r="C796" s="92"/>
      <c r="D796" s="92"/>
      <c r="E796" s="92"/>
      <c r="F796" s="92"/>
      <c r="G796" s="92"/>
      <c r="H796" s="93"/>
      <c r="I796" s="90"/>
      <c r="J796" s="90"/>
      <c r="M796" s="10"/>
    </row>
    <row r="797" spans="3:13" ht="12.75">
      <c r="C797" s="92"/>
      <c r="D797" s="92"/>
      <c r="E797" s="92"/>
      <c r="F797" s="92"/>
      <c r="G797" s="92"/>
      <c r="H797" s="93"/>
      <c r="I797" s="90"/>
      <c r="J797" s="90"/>
      <c r="M797" s="10"/>
    </row>
    <row r="798" spans="3:13" ht="12.75">
      <c r="C798" s="92"/>
      <c r="D798" s="92"/>
      <c r="E798" s="92"/>
      <c r="F798" s="92"/>
      <c r="G798" s="92"/>
      <c r="H798" s="93"/>
      <c r="I798" s="90"/>
      <c r="J798" s="90"/>
      <c r="M798" s="10"/>
    </row>
    <row r="799" spans="3:13" ht="12.75">
      <c r="C799" s="92"/>
      <c r="D799" s="92"/>
      <c r="E799" s="92"/>
      <c r="F799" s="92"/>
      <c r="G799" s="92"/>
      <c r="H799" s="93"/>
      <c r="I799" s="90"/>
      <c r="J799" s="90"/>
      <c r="M799" s="10"/>
    </row>
    <row r="800" spans="3:13" ht="12.75">
      <c r="C800" s="92"/>
      <c r="D800" s="92"/>
      <c r="E800" s="92"/>
      <c r="F800" s="92"/>
      <c r="G800" s="92"/>
      <c r="H800" s="93"/>
      <c r="I800" s="90"/>
      <c r="J800" s="90"/>
      <c r="M800" s="10"/>
    </row>
    <row r="801" spans="3:13" ht="12.75">
      <c r="C801" s="92"/>
      <c r="D801" s="92"/>
      <c r="E801" s="92"/>
      <c r="F801" s="92"/>
      <c r="G801" s="92"/>
      <c r="H801" s="93"/>
      <c r="I801" s="90"/>
      <c r="J801" s="90"/>
      <c r="M801" s="10"/>
    </row>
    <row r="802" spans="3:13" ht="12.75">
      <c r="C802" s="92"/>
      <c r="D802" s="92"/>
      <c r="E802" s="92"/>
      <c r="F802" s="92"/>
      <c r="G802" s="92"/>
      <c r="H802" s="93"/>
      <c r="I802" s="90"/>
      <c r="J802" s="90"/>
      <c r="M802" s="10"/>
    </row>
    <row r="803" spans="3:13" ht="12.75">
      <c r="C803" s="92"/>
      <c r="D803" s="92"/>
      <c r="E803" s="92"/>
      <c r="F803" s="92"/>
      <c r="G803" s="92"/>
      <c r="H803" s="93"/>
      <c r="I803" s="90"/>
      <c r="J803" s="90"/>
      <c r="M803" s="10"/>
    </row>
    <row r="804" spans="3:13" ht="12.75">
      <c r="C804" s="92"/>
      <c r="D804" s="92"/>
      <c r="E804" s="92"/>
      <c r="F804" s="92"/>
      <c r="G804" s="92"/>
      <c r="H804" s="93"/>
      <c r="I804" s="90"/>
      <c r="J804" s="90"/>
      <c r="M804" s="10"/>
    </row>
    <row r="805" spans="3:13" ht="12.75">
      <c r="C805" s="92"/>
      <c r="D805" s="92"/>
      <c r="E805" s="92"/>
      <c r="F805" s="92"/>
      <c r="G805" s="92"/>
      <c r="H805" s="93"/>
      <c r="I805" s="90"/>
      <c r="J805" s="90"/>
      <c r="M805" s="10"/>
    </row>
    <row r="806" spans="3:13" ht="12.75">
      <c r="C806" s="92"/>
      <c r="D806" s="92"/>
      <c r="E806" s="92"/>
      <c r="F806" s="92"/>
      <c r="G806" s="92"/>
      <c r="H806" s="93"/>
      <c r="I806" s="90"/>
      <c r="J806" s="90"/>
      <c r="M806" s="10"/>
    </row>
    <row r="807" spans="3:13" ht="12.75">
      <c r="C807" s="92"/>
      <c r="D807" s="92"/>
      <c r="E807" s="92"/>
      <c r="F807" s="92"/>
      <c r="G807" s="92"/>
      <c r="H807" s="93"/>
      <c r="I807" s="90"/>
      <c r="J807" s="90"/>
      <c r="M807" s="10"/>
    </row>
    <row r="808" spans="3:13" ht="12.75">
      <c r="C808" s="92"/>
      <c r="D808" s="92"/>
      <c r="E808" s="92"/>
      <c r="F808" s="92"/>
      <c r="G808" s="92"/>
      <c r="H808" s="93"/>
      <c r="I808" s="90"/>
      <c r="J808" s="90"/>
      <c r="M808" s="10"/>
    </row>
    <row r="809" spans="3:13" ht="12.75">
      <c r="C809" s="92"/>
      <c r="D809" s="92"/>
      <c r="E809" s="92"/>
      <c r="F809" s="92"/>
      <c r="G809" s="92"/>
      <c r="H809" s="93"/>
      <c r="I809" s="90"/>
      <c r="J809" s="90"/>
      <c r="M809" s="10"/>
    </row>
    <row r="810" spans="3:13" ht="12.75">
      <c r="C810" s="92"/>
      <c r="D810" s="92"/>
      <c r="E810" s="92"/>
      <c r="F810" s="92"/>
      <c r="G810" s="92"/>
      <c r="H810" s="93"/>
      <c r="I810" s="90"/>
      <c r="J810" s="90"/>
      <c r="M810" s="10"/>
    </row>
    <row r="811" spans="3:13" ht="12.75">
      <c r="C811" s="92"/>
      <c r="D811" s="92"/>
      <c r="E811" s="92"/>
      <c r="F811" s="92"/>
      <c r="G811" s="92"/>
      <c r="H811" s="93"/>
      <c r="I811" s="90"/>
      <c r="J811" s="90"/>
      <c r="M811" s="10"/>
    </row>
    <row r="812" spans="3:13" ht="12.75">
      <c r="C812" s="92"/>
      <c r="D812" s="92"/>
      <c r="E812" s="92"/>
      <c r="F812" s="92"/>
      <c r="G812" s="92"/>
      <c r="H812" s="93"/>
      <c r="I812" s="90"/>
      <c r="J812" s="90"/>
      <c r="M812" s="10"/>
    </row>
    <row r="813" spans="3:13" ht="12.75">
      <c r="C813" s="92"/>
      <c r="D813" s="92"/>
      <c r="E813" s="92"/>
      <c r="F813" s="92"/>
      <c r="G813" s="92"/>
      <c r="H813" s="93"/>
      <c r="I813" s="90"/>
      <c r="J813" s="90"/>
      <c r="M813" s="10"/>
    </row>
    <row r="814" spans="3:13" ht="12.75">
      <c r="C814" s="92"/>
      <c r="D814" s="92"/>
      <c r="E814" s="92"/>
      <c r="F814" s="92"/>
      <c r="G814" s="92"/>
      <c r="H814" s="93"/>
      <c r="I814" s="90"/>
      <c r="J814" s="90"/>
      <c r="M814" s="10"/>
    </row>
    <row r="815" spans="3:13" ht="12.75">
      <c r="C815" s="92"/>
      <c r="D815" s="92"/>
      <c r="E815" s="92"/>
      <c r="F815" s="92"/>
      <c r="G815" s="92"/>
      <c r="H815" s="93"/>
      <c r="I815" s="90"/>
      <c r="J815" s="90"/>
      <c r="M815" s="10"/>
    </row>
    <row r="816" spans="3:13" ht="12.75">
      <c r="C816" s="92"/>
      <c r="D816" s="92"/>
      <c r="E816" s="92"/>
      <c r="F816" s="92"/>
      <c r="G816" s="92"/>
      <c r="H816" s="93"/>
      <c r="I816" s="90"/>
      <c r="J816" s="90"/>
      <c r="M816" s="10"/>
    </row>
    <row r="817" spans="3:13" ht="12.75">
      <c r="C817" s="92"/>
      <c r="D817" s="92"/>
      <c r="E817" s="92"/>
      <c r="F817" s="92"/>
      <c r="G817" s="92"/>
      <c r="H817" s="93"/>
      <c r="I817" s="90"/>
      <c r="J817" s="90"/>
      <c r="M817" s="10"/>
    </row>
    <row r="818" spans="3:13" ht="12.75">
      <c r="C818" s="92"/>
      <c r="D818" s="92"/>
      <c r="E818" s="92"/>
      <c r="F818" s="92"/>
      <c r="G818" s="92"/>
      <c r="H818" s="93"/>
      <c r="I818" s="90"/>
      <c r="J818" s="90"/>
      <c r="M818" s="10"/>
    </row>
    <row r="819" spans="3:13" ht="12.75">
      <c r="C819" s="92"/>
      <c r="D819" s="92"/>
      <c r="E819" s="92"/>
      <c r="F819" s="92"/>
      <c r="G819" s="92"/>
      <c r="H819" s="93"/>
      <c r="I819" s="90"/>
      <c r="J819" s="90"/>
      <c r="M819" s="10"/>
    </row>
    <row r="820" spans="3:13" ht="12.75">
      <c r="C820" s="92"/>
      <c r="D820" s="92"/>
      <c r="E820" s="92"/>
      <c r="F820" s="92"/>
      <c r="G820" s="92"/>
      <c r="H820" s="93"/>
      <c r="I820" s="90"/>
      <c r="J820" s="90"/>
      <c r="M820" s="10"/>
    </row>
    <row r="821" spans="3:13" ht="12.75">
      <c r="C821" s="92"/>
      <c r="D821" s="92"/>
      <c r="E821" s="92"/>
      <c r="F821" s="92"/>
      <c r="G821" s="92"/>
      <c r="H821" s="93"/>
      <c r="I821" s="90"/>
      <c r="J821" s="90"/>
      <c r="M821" s="10"/>
    </row>
    <row r="822" spans="3:13" ht="12.75">
      <c r="C822" s="92"/>
      <c r="D822" s="92"/>
      <c r="E822" s="92"/>
      <c r="F822" s="92"/>
      <c r="G822" s="92"/>
      <c r="H822" s="93"/>
      <c r="I822" s="90"/>
      <c r="J822" s="90"/>
      <c r="M822" s="10"/>
    </row>
    <row r="823" spans="3:13" ht="12.75">
      <c r="C823" s="92"/>
      <c r="D823" s="92"/>
      <c r="E823" s="92"/>
      <c r="F823" s="92"/>
      <c r="G823" s="92"/>
      <c r="H823" s="93"/>
      <c r="I823" s="90"/>
      <c r="J823" s="90"/>
      <c r="M823" s="10"/>
    </row>
    <row r="824" spans="3:13" ht="12.75">
      <c r="C824" s="92"/>
      <c r="D824" s="92"/>
      <c r="E824" s="92"/>
      <c r="F824" s="92"/>
      <c r="G824" s="92"/>
      <c r="H824" s="93"/>
      <c r="I824" s="90"/>
      <c r="J824" s="90"/>
      <c r="M824" s="10"/>
    </row>
    <row r="825" spans="3:13" ht="12.75">
      <c r="C825" s="92"/>
      <c r="D825" s="92"/>
      <c r="E825" s="92"/>
      <c r="F825" s="92"/>
      <c r="G825" s="92"/>
      <c r="H825" s="93"/>
      <c r="I825" s="90"/>
      <c r="J825" s="90"/>
      <c r="M825" s="10"/>
    </row>
    <row r="826" spans="3:13" ht="12.75">
      <c r="C826" s="92"/>
      <c r="D826" s="92"/>
      <c r="E826" s="92"/>
      <c r="F826" s="92"/>
      <c r="G826" s="92"/>
      <c r="H826" s="93"/>
      <c r="I826" s="90"/>
      <c r="J826" s="90"/>
      <c r="M826" s="10"/>
    </row>
    <row r="827" spans="3:13" ht="12.75">
      <c r="C827" s="92"/>
      <c r="D827" s="92"/>
      <c r="E827" s="92"/>
      <c r="F827" s="92"/>
      <c r="G827" s="92"/>
      <c r="H827" s="93"/>
      <c r="I827" s="90"/>
      <c r="J827" s="90"/>
      <c r="M827" s="10"/>
    </row>
    <row r="828" spans="3:13" ht="12.75">
      <c r="C828" s="92"/>
      <c r="D828" s="92"/>
      <c r="E828" s="92"/>
      <c r="F828" s="92"/>
      <c r="G828" s="92"/>
      <c r="H828" s="93"/>
      <c r="I828" s="90"/>
      <c r="J828" s="90"/>
      <c r="M828" s="10"/>
    </row>
    <row r="829" spans="3:13" ht="12.75">
      <c r="C829" s="92"/>
      <c r="D829" s="92"/>
      <c r="E829" s="92"/>
      <c r="F829" s="92"/>
      <c r="G829" s="92"/>
      <c r="H829" s="93"/>
      <c r="I829" s="90"/>
      <c r="J829" s="90"/>
      <c r="M829" s="10"/>
    </row>
    <row r="830" spans="3:13" ht="12.75">
      <c r="C830" s="92"/>
      <c r="D830" s="92"/>
      <c r="E830" s="92"/>
      <c r="F830" s="92"/>
      <c r="G830" s="92"/>
      <c r="H830" s="93"/>
      <c r="I830" s="90"/>
      <c r="J830" s="90"/>
      <c r="M830" s="10"/>
    </row>
    <row r="831" spans="3:13" ht="12.75">
      <c r="C831" s="92"/>
      <c r="D831" s="92"/>
      <c r="E831" s="92"/>
      <c r="F831" s="92"/>
      <c r="G831" s="92"/>
      <c r="H831" s="93"/>
      <c r="I831" s="90"/>
      <c r="J831" s="90"/>
      <c r="M831" s="10"/>
    </row>
    <row r="832" spans="3:13" ht="12.75">
      <c r="C832" s="92"/>
      <c r="D832" s="92"/>
      <c r="E832" s="92"/>
      <c r="F832" s="92"/>
      <c r="G832" s="92"/>
      <c r="H832" s="93"/>
      <c r="I832" s="90"/>
      <c r="J832" s="90"/>
      <c r="M832" s="10"/>
    </row>
    <row r="833" spans="3:13" ht="12.75">
      <c r="C833" s="92"/>
      <c r="D833" s="92"/>
      <c r="E833" s="92"/>
      <c r="F833" s="92"/>
      <c r="G833" s="92"/>
      <c r="H833" s="93"/>
      <c r="I833" s="90"/>
      <c r="J833" s="90"/>
      <c r="M833" s="10"/>
    </row>
    <row r="834" spans="3:13" ht="12.75">
      <c r="C834" s="92"/>
      <c r="D834" s="92"/>
      <c r="E834" s="92"/>
      <c r="F834" s="92"/>
      <c r="G834" s="92"/>
      <c r="H834" s="93"/>
      <c r="I834" s="90"/>
      <c r="J834" s="90"/>
      <c r="M834" s="10"/>
    </row>
    <row r="835" spans="3:13" ht="12.75">
      <c r="C835" s="92"/>
      <c r="D835" s="92"/>
      <c r="E835" s="92"/>
      <c r="F835" s="92"/>
      <c r="G835" s="92"/>
      <c r="H835" s="93"/>
      <c r="I835" s="90"/>
      <c r="J835" s="90"/>
      <c r="M835" s="10"/>
    </row>
    <row r="836" spans="3:13" ht="12.75">
      <c r="C836" s="92"/>
      <c r="D836" s="92"/>
      <c r="E836" s="92"/>
      <c r="F836" s="92"/>
      <c r="G836" s="92"/>
      <c r="H836" s="93"/>
      <c r="I836" s="90"/>
      <c r="J836" s="90"/>
      <c r="M836" s="10"/>
    </row>
    <row r="837" spans="3:13" ht="12.75">
      <c r="C837" s="92"/>
      <c r="D837" s="92"/>
      <c r="E837" s="92"/>
      <c r="F837" s="92"/>
      <c r="G837" s="92"/>
      <c r="H837" s="93"/>
      <c r="I837" s="90"/>
      <c r="J837" s="90"/>
      <c r="M837" s="10"/>
    </row>
    <row r="838" spans="3:13" ht="12.75">
      <c r="C838" s="92"/>
      <c r="D838" s="92"/>
      <c r="E838" s="92"/>
      <c r="F838" s="92"/>
      <c r="G838" s="92"/>
      <c r="H838" s="93"/>
      <c r="I838" s="90"/>
      <c r="J838" s="90"/>
      <c r="M838" s="10"/>
    </row>
    <row r="839" spans="3:13" ht="12.75">
      <c r="C839" s="92"/>
      <c r="D839" s="92"/>
      <c r="E839" s="92"/>
      <c r="F839" s="92"/>
      <c r="G839" s="92"/>
      <c r="H839" s="93"/>
      <c r="I839" s="90"/>
      <c r="J839" s="90"/>
      <c r="M839" s="10"/>
    </row>
    <row r="840" spans="3:13" ht="12.75">
      <c r="C840" s="92"/>
      <c r="D840" s="92"/>
      <c r="E840" s="92"/>
      <c r="F840" s="92"/>
      <c r="G840" s="92"/>
      <c r="H840" s="93"/>
      <c r="I840" s="90"/>
      <c r="J840" s="90"/>
      <c r="M840" s="10"/>
    </row>
    <row r="841" spans="3:13" ht="12.75">
      <c r="C841" s="92"/>
      <c r="D841" s="92"/>
      <c r="E841" s="92"/>
      <c r="F841" s="92"/>
      <c r="G841" s="92"/>
      <c r="H841" s="93"/>
      <c r="I841" s="90"/>
      <c r="J841" s="90"/>
      <c r="M841" s="10"/>
    </row>
    <row r="842" spans="3:13" ht="12.75">
      <c r="C842" s="92"/>
      <c r="D842" s="92"/>
      <c r="E842" s="92"/>
      <c r="F842" s="92"/>
      <c r="G842" s="92"/>
      <c r="H842" s="93"/>
      <c r="I842" s="90"/>
      <c r="J842" s="90"/>
      <c r="M842" s="10"/>
    </row>
    <row r="843" spans="3:13" ht="12.75">
      <c r="C843" s="92"/>
      <c r="D843" s="92"/>
      <c r="E843" s="92"/>
      <c r="F843" s="92"/>
      <c r="G843" s="92"/>
      <c r="H843" s="93"/>
      <c r="I843" s="90"/>
      <c r="J843" s="90"/>
      <c r="M843" s="10"/>
    </row>
    <row r="844" spans="3:13" ht="12.75">
      <c r="C844" s="92"/>
      <c r="D844" s="92"/>
      <c r="E844" s="92"/>
      <c r="F844" s="92"/>
      <c r="G844" s="92"/>
      <c r="H844" s="93"/>
      <c r="I844" s="90"/>
      <c r="J844" s="90"/>
      <c r="M844" s="10"/>
    </row>
    <row r="845" spans="3:13" ht="12.75">
      <c r="C845" s="92"/>
      <c r="D845" s="92"/>
      <c r="E845" s="92"/>
      <c r="F845" s="92"/>
      <c r="G845" s="92"/>
      <c r="H845" s="93"/>
      <c r="I845" s="90"/>
      <c r="J845" s="90"/>
      <c r="M845" s="10"/>
    </row>
    <row r="846" spans="3:13" ht="12.75">
      <c r="C846" s="92"/>
      <c r="D846" s="92"/>
      <c r="E846" s="92"/>
      <c r="F846" s="92"/>
      <c r="G846" s="92"/>
      <c r="H846" s="93"/>
      <c r="I846" s="90"/>
      <c r="J846" s="90"/>
      <c r="M846" s="10"/>
    </row>
    <row r="847" spans="3:13" ht="12.75">
      <c r="C847" s="92"/>
      <c r="D847" s="92"/>
      <c r="E847" s="92"/>
      <c r="F847" s="92"/>
      <c r="G847" s="92"/>
      <c r="H847" s="93"/>
      <c r="I847" s="90"/>
      <c r="J847" s="90"/>
      <c r="M847" s="10"/>
    </row>
    <row r="848" spans="3:13" ht="12.75">
      <c r="C848" s="92"/>
      <c r="D848" s="92"/>
      <c r="E848" s="92"/>
      <c r="F848" s="92"/>
      <c r="G848" s="92"/>
      <c r="H848" s="93"/>
      <c r="I848" s="90"/>
      <c r="J848" s="90"/>
      <c r="M848" s="10"/>
    </row>
    <row r="849" spans="3:13" ht="12.75">
      <c r="C849" s="92"/>
      <c r="D849" s="92"/>
      <c r="E849" s="92"/>
      <c r="F849" s="92"/>
      <c r="G849" s="92"/>
      <c r="H849" s="93"/>
      <c r="I849" s="90"/>
      <c r="J849" s="90"/>
      <c r="M849" s="10"/>
    </row>
    <row r="850" spans="3:13" ht="12.75">
      <c r="C850" s="92"/>
      <c r="D850" s="92"/>
      <c r="E850" s="92"/>
      <c r="F850" s="92"/>
      <c r="G850" s="92"/>
      <c r="H850" s="93"/>
      <c r="I850" s="90"/>
      <c r="J850" s="90"/>
      <c r="M850" s="10"/>
    </row>
    <row r="851" spans="3:13" ht="12.75">
      <c r="C851" s="92"/>
      <c r="D851" s="92"/>
      <c r="E851" s="92"/>
      <c r="F851" s="92"/>
      <c r="G851" s="92"/>
      <c r="H851" s="93"/>
      <c r="I851" s="90"/>
      <c r="J851" s="90"/>
      <c r="M851" s="10"/>
    </row>
    <row r="852" spans="3:13" ht="12.75">
      <c r="C852" s="92"/>
      <c r="D852" s="92"/>
      <c r="E852" s="92"/>
      <c r="F852" s="92"/>
      <c r="G852" s="92"/>
      <c r="H852" s="93"/>
      <c r="I852" s="90"/>
      <c r="J852" s="90"/>
      <c r="M852" s="10"/>
    </row>
    <row r="853" spans="3:13" ht="12.75">
      <c r="C853" s="92"/>
      <c r="D853" s="92"/>
      <c r="E853" s="92"/>
      <c r="F853" s="92"/>
      <c r="G853" s="92"/>
      <c r="H853" s="93"/>
      <c r="I853" s="90"/>
      <c r="J853" s="90"/>
      <c r="M853" s="10"/>
    </row>
    <row r="854" spans="3:13" ht="12.75">
      <c r="C854" s="92"/>
      <c r="D854" s="92"/>
      <c r="E854" s="92"/>
      <c r="F854" s="92"/>
      <c r="G854" s="92"/>
      <c r="H854" s="93"/>
      <c r="I854" s="90"/>
      <c r="J854" s="90"/>
      <c r="M854" s="10"/>
    </row>
    <row r="855" spans="3:13" ht="12.75">
      <c r="C855" s="92"/>
      <c r="D855" s="92"/>
      <c r="E855" s="92"/>
      <c r="F855" s="92"/>
      <c r="G855" s="92"/>
      <c r="H855" s="93"/>
      <c r="I855" s="90"/>
      <c r="J855" s="90"/>
      <c r="M855" s="10"/>
    </row>
    <row r="856" spans="3:13" ht="12.75">
      <c r="C856" s="92"/>
      <c r="D856" s="92"/>
      <c r="E856" s="92"/>
      <c r="F856" s="92"/>
      <c r="G856" s="92"/>
      <c r="H856" s="93"/>
      <c r="I856" s="90"/>
      <c r="J856" s="90"/>
      <c r="M856" s="10"/>
    </row>
    <row r="857" spans="3:13" ht="12.75">
      <c r="C857" s="92"/>
      <c r="D857" s="92"/>
      <c r="E857" s="92"/>
      <c r="F857" s="92"/>
      <c r="G857" s="92"/>
      <c r="H857" s="93"/>
      <c r="I857" s="90"/>
      <c r="J857" s="90"/>
      <c r="M857" s="10"/>
    </row>
    <row r="858" spans="3:13" ht="12.75">
      <c r="C858" s="92"/>
      <c r="D858" s="92"/>
      <c r="E858" s="92"/>
      <c r="F858" s="92"/>
      <c r="G858" s="92"/>
      <c r="H858" s="93"/>
      <c r="I858" s="90"/>
      <c r="J858" s="90"/>
      <c r="M858" s="10"/>
    </row>
    <row r="859" spans="3:13" ht="12.75">
      <c r="C859" s="92"/>
      <c r="D859" s="92"/>
      <c r="E859" s="92"/>
      <c r="F859" s="92"/>
      <c r="G859" s="92"/>
      <c r="H859" s="93"/>
      <c r="I859" s="90"/>
      <c r="J859" s="90"/>
      <c r="M859" s="10"/>
    </row>
    <row r="860" spans="3:13" ht="12.75">
      <c r="C860" s="92"/>
      <c r="D860" s="92"/>
      <c r="E860" s="92"/>
      <c r="F860" s="92"/>
      <c r="G860" s="92"/>
      <c r="H860" s="93"/>
      <c r="I860" s="90"/>
      <c r="J860" s="90"/>
      <c r="M860" s="10"/>
    </row>
    <row r="861" spans="3:13" ht="12.75">
      <c r="C861" s="92"/>
      <c r="D861" s="92"/>
      <c r="E861" s="92"/>
      <c r="F861" s="92"/>
      <c r="G861" s="92"/>
      <c r="H861" s="93"/>
      <c r="I861" s="90"/>
      <c r="J861" s="90"/>
      <c r="M861" s="10"/>
    </row>
    <row r="862" spans="3:13" ht="12.75">
      <c r="C862" s="92"/>
      <c r="D862" s="92"/>
      <c r="E862" s="92"/>
      <c r="F862" s="92"/>
      <c r="G862" s="92"/>
      <c r="H862" s="93"/>
      <c r="I862" s="90"/>
      <c r="J862" s="90"/>
      <c r="M862" s="10"/>
    </row>
    <row r="863" spans="3:13" ht="12.75">
      <c r="C863" s="92"/>
      <c r="D863" s="92"/>
      <c r="E863" s="92"/>
      <c r="F863" s="92"/>
      <c r="G863" s="92"/>
      <c r="H863" s="93"/>
      <c r="I863" s="90"/>
      <c r="J863" s="90"/>
      <c r="M863" s="10"/>
    </row>
    <row r="864" spans="3:13" ht="12.75">
      <c r="C864" s="92"/>
      <c r="D864" s="92"/>
      <c r="E864" s="92"/>
      <c r="F864" s="92"/>
      <c r="G864" s="92"/>
      <c r="H864" s="93"/>
      <c r="I864" s="90"/>
      <c r="J864" s="90"/>
      <c r="M864" s="10"/>
    </row>
    <row r="865" spans="3:13" ht="12.75">
      <c r="C865" s="92"/>
      <c r="D865" s="92"/>
      <c r="E865" s="92"/>
      <c r="F865" s="92"/>
      <c r="G865" s="92"/>
      <c r="H865" s="93"/>
      <c r="I865" s="90"/>
      <c r="J865" s="90"/>
      <c r="M865" s="10"/>
    </row>
    <row r="866" spans="3:13" ht="12.75">
      <c r="C866" s="92"/>
      <c r="D866" s="92"/>
      <c r="E866" s="92"/>
      <c r="F866" s="92"/>
      <c r="G866" s="92"/>
      <c r="H866" s="93"/>
      <c r="I866" s="90"/>
      <c r="J866" s="90"/>
      <c r="M866" s="10"/>
    </row>
    <row r="867" spans="3:13" ht="12.75">
      <c r="C867" s="92"/>
      <c r="D867" s="92"/>
      <c r="E867" s="92"/>
      <c r="F867" s="92"/>
      <c r="G867" s="92"/>
      <c r="H867" s="93"/>
      <c r="I867" s="90"/>
      <c r="J867" s="90"/>
      <c r="M867" s="10"/>
    </row>
    <row r="868" spans="3:13" ht="12.75">
      <c r="C868" s="92"/>
      <c r="D868" s="92"/>
      <c r="E868" s="92"/>
      <c r="F868" s="92"/>
      <c r="G868" s="92"/>
      <c r="H868" s="93"/>
      <c r="I868" s="90"/>
      <c r="J868" s="90"/>
      <c r="M868" s="10"/>
    </row>
    <row r="869" spans="3:13" ht="12.75">
      <c r="C869" s="92"/>
      <c r="D869" s="92"/>
      <c r="E869" s="92"/>
      <c r="F869" s="92"/>
      <c r="G869" s="92"/>
      <c r="H869" s="93"/>
      <c r="I869" s="90"/>
      <c r="J869" s="90"/>
      <c r="M869" s="10"/>
    </row>
    <row r="870" spans="3:13" ht="12.75">
      <c r="C870" s="92"/>
      <c r="D870" s="92"/>
      <c r="E870" s="92"/>
      <c r="F870" s="92"/>
      <c r="G870" s="92"/>
      <c r="H870" s="93"/>
      <c r="I870" s="90"/>
      <c r="J870" s="90"/>
      <c r="M870" s="10"/>
    </row>
    <row r="871" spans="3:13" ht="12.75">
      <c r="C871" s="92"/>
      <c r="D871" s="92"/>
      <c r="E871" s="92"/>
      <c r="F871" s="92"/>
      <c r="G871" s="92"/>
      <c r="H871" s="93"/>
      <c r="I871" s="90"/>
      <c r="J871" s="90"/>
      <c r="M871" s="10"/>
    </row>
    <row r="872" spans="3:13" ht="12.75">
      <c r="C872" s="92"/>
      <c r="D872" s="92"/>
      <c r="E872" s="92"/>
      <c r="F872" s="92"/>
      <c r="G872" s="92"/>
      <c r="H872" s="93"/>
      <c r="I872" s="90"/>
      <c r="J872" s="90"/>
      <c r="M872" s="10"/>
    </row>
    <row r="873" spans="3:13" ht="12.75">
      <c r="C873" s="92"/>
      <c r="D873" s="92"/>
      <c r="E873" s="92"/>
      <c r="F873" s="92"/>
      <c r="G873" s="92"/>
      <c r="H873" s="93"/>
      <c r="I873" s="90"/>
      <c r="J873" s="90"/>
      <c r="M873" s="10"/>
    </row>
    <row r="874" spans="3:13" ht="12.75">
      <c r="C874" s="92"/>
      <c r="D874" s="92"/>
      <c r="E874" s="92"/>
      <c r="F874" s="92"/>
      <c r="G874" s="92"/>
      <c r="H874" s="93"/>
      <c r="I874" s="90"/>
      <c r="J874" s="90"/>
      <c r="M874" s="10"/>
    </row>
    <row r="875" spans="3:13" ht="12.75">
      <c r="C875" s="92"/>
      <c r="D875" s="92"/>
      <c r="E875" s="92"/>
      <c r="F875" s="92"/>
      <c r="G875" s="92"/>
      <c r="H875" s="93"/>
      <c r="I875" s="90"/>
      <c r="J875" s="90"/>
      <c r="M875" s="10"/>
    </row>
    <row r="876" spans="3:13" ht="12.75">
      <c r="C876" s="92"/>
      <c r="D876" s="92"/>
      <c r="E876" s="92"/>
      <c r="F876" s="92"/>
      <c r="G876" s="92"/>
      <c r="H876" s="93"/>
      <c r="I876" s="90"/>
      <c r="J876" s="90"/>
      <c r="M876" s="10"/>
    </row>
    <row r="877" spans="3:13" ht="12.75">
      <c r="C877" s="92"/>
      <c r="D877" s="92"/>
      <c r="E877" s="92"/>
      <c r="F877" s="92"/>
      <c r="G877" s="92"/>
      <c r="H877" s="93"/>
      <c r="I877" s="90"/>
      <c r="J877" s="90"/>
      <c r="M877" s="10"/>
    </row>
    <row r="878" spans="3:13" ht="12.75">
      <c r="C878" s="92"/>
      <c r="D878" s="92"/>
      <c r="E878" s="92"/>
      <c r="F878" s="92"/>
      <c r="G878" s="92"/>
      <c r="H878" s="93"/>
      <c r="I878" s="90"/>
      <c r="J878" s="90"/>
      <c r="M878" s="10"/>
    </row>
    <row r="879" spans="3:13" ht="12.75">
      <c r="C879" s="92"/>
      <c r="D879" s="92"/>
      <c r="E879" s="92"/>
      <c r="F879" s="92"/>
      <c r="G879" s="92"/>
      <c r="H879" s="93"/>
      <c r="I879" s="90"/>
      <c r="J879" s="90"/>
      <c r="M879" s="10"/>
    </row>
    <row r="880" spans="3:13" ht="12.75">
      <c r="C880" s="92"/>
      <c r="D880" s="92"/>
      <c r="E880" s="92"/>
      <c r="F880" s="92"/>
      <c r="G880" s="92"/>
      <c r="H880" s="93"/>
      <c r="I880" s="90"/>
      <c r="J880" s="90"/>
      <c r="M880" s="10"/>
    </row>
    <row r="881" spans="3:13" ht="12.75">
      <c r="C881" s="92"/>
      <c r="D881" s="92"/>
      <c r="E881" s="92"/>
      <c r="F881" s="92"/>
      <c r="G881" s="92"/>
      <c r="H881" s="93"/>
      <c r="I881" s="90"/>
      <c r="J881" s="90"/>
      <c r="M881" s="10"/>
    </row>
    <row r="882" spans="3:13" ht="12.75">
      <c r="C882" s="92"/>
      <c r="D882" s="92"/>
      <c r="E882" s="92"/>
      <c r="F882" s="92"/>
      <c r="G882" s="92"/>
      <c r="H882" s="93"/>
      <c r="I882" s="90"/>
      <c r="J882" s="90"/>
      <c r="M882" s="10"/>
    </row>
    <row r="883" spans="3:13" ht="12.75">
      <c r="C883" s="92"/>
      <c r="D883" s="92"/>
      <c r="E883" s="92"/>
      <c r="F883" s="92"/>
      <c r="G883" s="92"/>
      <c r="H883" s="93"/>
      <c r="I883" s="90"/>
      <c r="J883" s="90"/>
      <c r="M883" s="10"/>
    </row>
    <row r="884" spans="3:13" ht="12.75">
      <c r="C884" s="92"/>
      <c r="D884" s="92"/>
      <c r="E884" s="92"/>
      <c r="F884" s="92"/>
      <c r="G884" s="92"/>
      <c r="H884" s="93"/>
      <c r="I884" s="90"/>
      <c r="J884" s="90"/>
      <c r="M884" s="10"/>
    </row>
    <row r="885" spans="3:13" ht="12.75">
      <c r="C885" s="92"/>
      <c r="D885" s="92"/>
      <c r="E885" s="92"/>
      <c r="F885" s="92"/>
      <c r="G885" s="92"/>
      <c r="H885" s="93"/>
      <c r="I885" s="90"/>
      <c r="J885" s="90"/>
      <c r="M885" s="10"/>
    </row>
    <row r="886" spans="3:13" ht="12.75">
      <c r="C886" s="92"/>
      <c r="D886" s="92"/>
      <c r="E886" s="92"/>
      <c r="F886" s="92"/>
      <c r="G886" s="92"/>
      <c r="H886" s="93"/>
      <c r="I886" s="90"/>
      <c r="J886" s="90"/>
      <c r="M886" s="10"/>
    </row>
    <row r="887" spans="3:13" ht="12.75">
      <c r="C887" s="92"/>
      <c r="D887" s="92"/>
      <c r="E887" s="92"/>
      <c r="F887" s="92"/>
      <c r="G887" s="92"/>
      <c r="H887" s="93"/>
      <c r="I887" s="90"/>
      <c r="J887" s="90"/>
      <c r="M887" s="10"/>
    </row>
    <row r="888" spans="3:13" ht="12.75">
      <c r="C888" s="92"/>
      <c r="D888" s="92"/>
      <c r="E888" s="92"/>
      <c r="F888" s="92"/>
      <c r="G888" s="92"/>
      <c r="H888" s="93"/>
      <c r="I888" s="90"/>
      <c r="J888" s="90"/>
      <c r="M888" s="10"/>
    </row>
    <row r="889" spans="3:13" ht="12.75">
      <c r="C889" s="92"/>
      <c r="D889" s="92"/>
      <c r="E889" s="92"/>
      <c r="F889" s="92"/>
      <c r="G889" s="92"/>
      <c r="H889" s="93"/>
      <c r="I889" s="90"/>
      <c r="J889" s="90"/>
      <c r="M889" s="10"/>
    </row>
    <row r="890" spans="3:13" ht="12.75">
      <c r="C890" s="92"/>
      <c r="D890" s="92"/>
      <c r="E890" s="92"/>
      <c r="F890" s="92"/>
      <c r="G890" s="92"/>
      <c r="H890" s="93"/>
      <c r="I890" s="90"/>
      <c r="J890" s="90"/>
      <c r="M890" s="10"/>
    </row>
    <row r="891" spans="3:13" ht="12.75">
      <c r="C891" s="92"/>
      <c r="D891" s="92"/>
      <c r="E891" s="92"/>
      <c r="F891" s="92"/>
      <c r="G891" s="92"/>
      <c r="H891" s="93"/>
      <c r="I891" s="90"/>
      <c r="J891" s="90"/>
      <c r="M891" s="10"/>
    </row>
    <row r="892" spans="3:13" ht="12.75">
      <c r="C892" s="92"/>
      <c r="D892" s="92"/>
      <c r="E892" s="92"/>
      <c r="F892" s="92"/>
      <c r="G892" s="92"/>
      <c r="H892" s="93"/>
      <c r="I892" s="90"/>
      <c r="J892" s="90"/>
      <c r="M892" s="10"/>
    </row>
    <row r="893" spans="3:13" ht="12.75">
      <c r="C893" s="92"/>
      <c r="D893" s="92"/>
      <c r="E893" s="92"/>
      <c r="F893" s="92"/>
      <c r="G893" s="92"/>
      <c r="H893" s="93"/>
      <c r="I893" s="90"/>
      <c r="J893" s="90"/>
      <c r="M893" s="10"/>
    </row>
    <row r="894" spans="3:13" ht="12.75">
      <c r="C894" s="92"/>
      <c r="D894" s="92"/>
      <c r="E894" s="92"/>
      <c r="F894" s="92"/>
      <c r="G894" s="92"/>
      <c r="H894" s="93"/>
      <c r="I894" s="90"/>
      <c r="J894" s="90"/>
      <c r="M894" s="10"/>
    </row>
    <row r="895" spans="3:13" ht="12.75">
      <c r="C895" s="92"/>
      <c r="D895" s="92"/>
      <c r="E895" s="92"/>
      <c r="F895" s="92"/>
      <c r="G895" s="92"/>
      <c r="H895" s="93"/>
      <c r="I895" s="90"/>
      <c r="J895" s="90"/>
      <c r="M895" s="10"/>
    </row>
    <row r="896" spans="3:13" ht="12.75">
      <c r="C896" s="92"/>
      <c r="D896" s="92"/>
      <c r="E896" s="92"/>
      <c r="F896" s="92"/>
      <c r="G896" s="92"/>
      <c r="H896" s="93"/>
      <c r="I896" s="90"/>
      <c r="J896" s="90"/>
      <c r="M896" s="10"/>
    </row>
    <row r="897" spans="3:13" ht="12.75">
      <c r="C897" s="92"/>
      <c r="D897" s="92"/>
      <c r="E897" s="92"/>
      <c r="F897" s="92"/>
      <c r="G897" s="92"/>
      <c r="H897" s="93"/>
      <c r="I897" s="90"/>
      <c r="J897" s="90"/>
      <c r="M897" s="10"/>
    </row>
    <row r="898" spans="3:13" ht="12.75">
      <c r="C898" s="92"/>
      <c r="D898" s="92"/>
      <c r="E898" s="92"/>
      <c r="F898" s="92"/>
      <c r="G898" s="92"/>
      <c r="H898" s="93"/>
      <c r="I898" s="90"/>
      <c r="J898" s="90"/>
      <c r="M898" s="10"/>
    </row>
    <row r="899" spans="3:13" ht="12.75">
      <c r="C899" s="92"/>
      <c r="D899" s="92"/>
      <c r="E899" s="92"/>
      <c r="F899" s="92"/>
      <c r="G899" s="92"/>
      <c r="H899" s="93"/>
      <c r="I899" s="90"/>
      <c r="J899" s="90"/>
      <c r="M899" s="10"/>
    </row>
    <row r="900" spans="3:13" ht="12.75">
      <c r="C900" s="92"/>
      <c r="D900" s="92"/>
      <c r="E900" s="92"/>
      <c r="F900" s="92"/>
      <c r="G900" s="92"/>
      <c r="H900" s="93"/>
      <c r="I900" s="90"/>
      <c r="J900" s="90"/>
      <c r="M900" s="10"/>
    </row>
    <row r="901" spans="3:13" ht="12.75">
      <c r="C901" s="92"/>
      <c r="D901" s="92"/>
      <c r="E901" s="92"/>
      <c r="F901" s="92"/>
      <c r="G901" s="92"/>
      <c r="H901" s="93"/>
      <c r="I901" s="90"/>
      <c r="J901" s="90"/>
      <c r="M901" s="10"/>
    </row>
    <row r="902" spans="3:13" ht="12.75">
      <c r="C902" s="92"/>
      <c r="D902" s="92"/>
      <c r="E902" s="92"/>
      <c r="F902" s="92"/>
      <c r="G902" s="92"/>
      <c r="H902" s="93"/>
      <c r="I902" s="90"/>
      <c r="J902" s="90"/>
      <c r="M902" s="10"/>
    </row>
    <row r="903" spans="3:13" ht="12.75">
      <c r="C903" s="92"/>
      <c r="D903" s="92"/>
      <c r="E903" s="92"/>
      <c r="F903" s="92"/>
      <c r="G903" s="92"/>
      <c r="H903" s="93"/>
      <c r="I903" s="90"/>
      <c r="J903" s="90"/>
      <c r="M903" s="10"/>
    </row>
    <row r="904" spans="3:13" ht="12.75">
      <c r="C904" s="92"/>
      <c r="D904" s="92"/>
      <c r="E904" s="92"/>
      <c r="F904" s="92"/>
      <c r="G904" s="92"/>
      <c r="H904" s="93"/>
      <c r="I904" s="90"/>
      <c r="J904" s="90"/>
      <c r="M904" s="10"/>
    </row>
    <row r="905" spans="3:13" ht="12.75">
      <c r="C905" s="92"/>
      <c r="D905" s="92"/>
      <c r="E905" s="92"/>
      <c r="F905" s="92"/>
      <c r="G905" s="92"/>
      <c r="H905" s="93"/>
      <c r="I905" s="90"/>
      <c r="J905" s="90"/>
      <c r="M905" s="10"/>
    </row>
    <row r="906" spans="3:13" ht="12.75">
      <c r="C906" s="92"/>
      <c r="D906" s="92"/>
      <c r="E906" s="92"/>
      <c r="F906" s="92"/>
      <c r="G906" s="92"/>
      <c r="H906" s="93"/>
      <c r="I906" s="90"/>
      <c r="J906" s="90"/>
      <c r="M906" s="10"/>
    </row>
    <row r="907" spans="3:13" ht="12.75">
      <c r="C907" s="92"/>
      <c r="D907" s="92"/>
      <c r="E907" s="92"/>
      <c r="F907" s="92"/>
      <c r="G907" s="92"/>
      <c r="H907" s="93"/>
      <c r="I907" s="90"/>
      <c r="J907" s="90"/>
      <c r="M907" s="10"/>
    </row>
    <row r="908" spans="3:13" ht="12.75">
      <c r="C908" s="92"/>
      <c r="D908" s="92"/>
      <c r="E908" s="92"/>
      <c r="F908" s="92"/>
      <c r="G908" s="92"/>
      <c r="H908" s="93"/>
      <c r="I908" s="90"/>
      <c r="J908" s="90"/>
      <c r="M908" s="10"/>
    </row>
    <row r="909" spans="3:13" ht="12.75">
      <c r="C909" s="92"/>
      <c r="D909" s="92"/>
      <c r="E909" s="92"/>
      <c r="F909" s="92"/>
      <c r="G909" s="92"/>
      <c r="H909" s="93"/>
      <c r="I909" s="90"/>
      <c r="J909" s="90"/>
      <c r="M909" s="10"/>
    </row>
    <row r="910" spans="3:13" ht="12.75">
      <c r="C910" s="92"/>
      <c r="D910" s="92"/>
      <c r="E910" s="92"/>
      <c r="F910" s="92"/>
      <c r="G910" s="92"/>
      <c r="H910" s="93"/>
      <c r="I910" s="90"/>
      <c r="J910" s="90"/>
      <c r="M910" s="10"/>
    </row>
    <row r="911" spans="3:13" ht="12.75">
      <c r="C911" s="92"/>
      <c r="D911" s="92"/>
      <c r="E911" s="92"/>
      <c r="F911" s="92"/>
      <c r="G911" s="92"/>
      <c r="H911" s="93"/>
      <c r="I911" s="90"/>
      <c r="J911" s="90"/>
      <c r="M911" s="10"/>
    </row>
    <row r="912" spans="3:13" ht="12.75">
      <c r="C912" s="92"/>
      <c r="D912" s="92"/>
      <c r="E912" s="92"/>
      <c r="F912" s="92"/>
      <c r="G912" s="92"/>
      <c r="H912" s="93"/>
      <c r="I912" s="90"/>
      <c r="J912" s="90"/>
      <c r="M912" s="10"/>
    </row>
    <row r="913" spans="3:13" ht="12.75">
      <c r="C913" s="92"/>
      <c r="D913" s="92"/>
      <c r="E913" s="92"/>
      <c r="F913" s="92"/>
      <c r="G913" s="92"/>
      <c r="H913" s="93"/>
      <c r="I913" s="90"/>
      <c r="J913" s="90"/>
      <c r="M913" s="10"/>
    </row>
    <row r="914" spans="3:13" ht="12.75">
      <c r="C914" s="92"/>
      <c r="D914" s="92"/>
      <c r="E914" s="92"/>
      <c r="F914" s="92"/>
      <c r="G914" s="92"/>
      <c r="H914" s="93"/>
      <c r="I914" s="90"/>
      <c r="J914" s="90"/>
      <c r="M914" s="10"/>
    </row>
    <row r="915" spans="3:13" ht="12.75">
      <c r="C915" s="92"/>
      <c r="D915" s="92"/>
      <c r="E915" s="92"/>
      <c r="F915" s="92"/>
      <c r="G915" s="92"/>
      <c r="H915" s="93"/>
      <c r="I915" s="90"/>
      <c r="J915" s="90"/>
      <c r="M915" s="10"/>
    </row>
    <row r="916" spans="3:13" ht="12.75">
      <c r="C916" s="92"/>
      <c r="D916" s="92"/>
      <c r="E916" s="92"/>
      <c r="F916" s="92"/>
      <c r="G916" s="92"/>
      <c r="H916" s="93"/>
      <c r="I916" s="90"/>
      <c r="J916" s="90"/>
      <c r="M916" s="10"/>
    </row>
    <row r="917" spans="3:13" ht="12.75">
      <c r="C917" s="92"/>
      <c r="D917" s="92"/>
      <c r="E917" s="92"/>
      <c r="F917" s="92"/>
      <c r="G917" s="92"/>
      <c r="H917" s="93"/>
      <c r="I917" s="90"/>
      <c r="J917" s="90"/>
      <c r="M917" s="10"/>
    </row>
    <row r="918" spans="3:13" ht="12.75">
      <c r="C918" s="92"/>
      <c r="D918" s="92"/>
      <c r="E918" s="92"/>
      <c r="F918" s="92"/>
      <c r="G918" s="92"/>
      <c r="H918" s="93"/>
      <c r="I918" s="90"/>
      <c r="J918" s="90"/>
      <c r="M918" s="10"/>
    </row>
    <row r="919" spans="3:13" ht="12.75">
      <c r="C919" s="92"/>
      <c r="D919" s="92"/>
      <c r="E919" s="92"/>
      <c r="F919" s="92"/>
      <c r="G919" s="92"/>
      <c r="H919" s="93"/>
      <c r="I919" s="90"/>
      <c r="J919" s="90"/>
      <c r="M919" s="10"/>
    </row>
    <row r="920" spans="3:13" ht="12.75">
      <c r="C920" s="92"/>
      <c r="D920" s="92"/>
      <c r="E920" s="92"/>
      <c r="F920" s="92"/>
      <c r="G920" s="92"/>
      <c r="H920" s="93"/>
      <c r="I920" s="90"/>
      <c r="J920" s="90"/>
      <c r="M920" s="10"/>
    </row>
    <row r="921" spans="3:13" ht="12.75">
      <c r="C921" s="92"/>
      <c r="D921" s="92"/>
      <c r="E921" s="92"/>
      <c r="F921" s="92"/>
      <c r="G921" s="92"/>
      <c r="H921" s="93"/>
      <c r="I921" s="90"/>
      <c r="J921" s="90"/>
      <c r="M921" s="10"/>
    </row>
    <row r="922" spans="3:13" ht="12.75">
      <c r="C922" s="92"/>
      <c r="D922" s="92"/>
      <c r="E922" s="92"/>
      <c r="F922" s="92"/>
      <c r="G922" s="92"/>
      <c r="H922" s="93"/>
      <c r="I922" s="90"/>
      <c r="J922" s="90"/>
      <c r="M922" s="10"/>
    </row>
    <row r="923" spans="3:13" ht="12.75">
      <c r="C923" s="92"/>
      <c r="D923" s="92"/>
      <c r="E923" s="92"/>
      <c r="F923" s="92"/>
      <c r="G923" s="92"/>
      <c r="H923" s="93"/>
      <c r="I923" s="90"/>
      <c r="J923" s="90"/>
      <c r="M923" s="10"/>
    </row>
    <row r="924" spans="3:13" ht="12.75">
      <c r="C924" s="92"/>
      <c r="D924" s="92"/>
      <c r="E924" s="92"/>
      <c r="F924" s="92"/>
      <c r="G924" s="92"/>
      <c r="H924" s="93"/>
      <c r="I924" s="90"/>
      <c r="J924" s="90"/>
      <c r="M924" s="10"/>
    </row>
    <row r="925" spans="3:13" ht="12.75">
      <c r="C925" s="92"/>
      <c r="D925" s="92"/>
      <c r="E925" s="92"/>
      <c r="F925" s="92"/>
      <c r="G925" s="92"/>
      <c r="H925" s="93"/>
      <c r="I925" s="90"/>
      <c r="J925" s="90"/>
      <c r="M925" s="10"/>
    </row>
    <row r="926" spans="3:13" ht="12.75">
      <c r="C926" s="92"/>
      <c r="D926" s="92"/>
      <c r="E926" s="92"/>
      <c r="F926" s="92"/>
      <c r="G926" s="92"/>
      <c r="H926" s="93"/>
      <c r="I926" s="90"/>
      <c r="J926" s="90"/>
      <c r="M926" s="10"/>
    </row>
    <row r="927" spans="3:13" ht="12.75">
      <c r="C927" s="92"/>
      <c r="D927" s="92"/>
      <c r="E927" s="92"/>
      <c r="F927" s="92"/>
      <c r="G927" s="92"/>
      <c r="H927" s="93"/>
      <c r="I927" s="90"/>
      <c r="J927" s="90"/>
      <c r="M927" s="10"/>
    </row>
    <row r="928" spans="3:13" ht="12.75">
      <c r="C928" s="92"/>
      <c r="D928" s="92"/>
      <c r="E928" s="92"/>
      <c r="F928" s="92"/>
      <c r="G928" s="92"/>
      <c r="H928" s="93"/>
      <c r="I928" s="90"/>
      <c r="J928" s="90"/>
      <c r="M928" s="10"/>
    </row>
    <row r="929" spans="3:13" ht="12.75">
      <c r="C929" s="92"/>
      <c r="D929" s="92"/>
      <c r="E929" s="92"/>
      <c r="F929" s="92"/>
      <c r="G929" s="92"/>
      <c r="H929" s="93"/>
      <c r="I929" s="90"/>
      <c r="J929" s="90"/>
      <c r="M929" s="10"/>
    </row>
    <row r="930" spans="3:13" ht="12.75">
      <c r="C930" s="92"/>
      <c r="D930" s="92"/>
      <c r="E930" s="92"/>
      <c r="F930" s="92"/>
      <c r="G930" s="92"/>
      <c r="H930" s="93"/>
      <c r="I930" s="90"/>
      <c r="J930" s="90"/>
      <c r="M930" s="10"/>
    </row>
    <row r="931" spans="3:13" ht="12.75">
      <c r="C931" s="92"/>
      <c r="D931" s="92"/>
      <c r="E931" s="92"/>
      <c r="F931" s="92"/>
      <c r="G931" s="92"/>
      <c r="H931" s="93"/>
      <c r="I931" s="90"/>
      <c r="J931" s="90"/>
      <c r="M931" s="10"/>
    </row>
    <row r="932" spans="3:13" ht="12.75">
      <c r="C932" s="92"/>
      <c r="D932" s="92"/>
      <c r="E932" s="92"/>
      <c r="F932" s="92"/>
      <c r="G932" s="92"/>
      <c r="H932" s="93"/>
      <c r="I932" s="90"/>
      <c r="J932" s="90"/>
      <c r="M932" s="10"/>
    </row>
    <row r="933" spans="3:13" ht="12.75">
      <c r="C933" s="92"/>
      <c r="D933" s="92"/>
      <c r="E933" s="92"/>
      <c r="F933" s="92"/>
      <c r="G933" s="92"/>
      <c r="H933" s="93"/>
      <c r="I933" s="90"/>
      <c r="J933" s="90"/>
      <c r="M933" s="10"/>
    </row>
    <row r="934" spans="3:13" ht="12.75">
      <c r="C934" s="92"/>
      <c r="D934" s="92"/>
      <c r="E934" s="92"/>
      <c r="F934" s="92"/>
      <c r="G934" s="92"/>
      <c r="H934" s="93"/>
      <c r="I934" s="90"/>
      <c r="J934" s="90"/>
      <c r="M934" s="10"/>
    </row>
    <row r="935" spans="3:13" ht="12.75">
      <c r="C935" s="92"/>
      <c r="D935" s="92"/>
      <c r="E935" s="92"/>
      <c r="F935" s="92"/>
      <c r="G935" s="92"/>
      <c r="H935" s="93"/>
      <c r="I935" s="90"/>
      <c r="J935" s="90"/>
      <c r="M935" s="10"/>
    </row>
    <row r="936" spans="3:13" ht="12.75">
      <c r="C936" s="92"/>
      <c r="D936" s="92"/>
      <c r="E936" s="92"/>
      <c r="F936" s="92"/>
      <c r="G936" s="92"/>
      <c r="H936" s="93"/>
      <c r="I936" s="90"/>
      <c r="J936" s="90"/>
      <c r="M936" s="10"/>
    </row>
    <row r="937" spans="3:13" ht="12.75">
      <c r="C937" s="92"/>
      <c r="D937" s="92"/>
      <c r="E937" s="92"/>
      <c r="F937" s="92"/>
      <c r="G937" s="92"/>
      <c r="H937" s="93"/>
      <c r="I937" s="90"/>
      <c r="J937" s="90"/>
      <c r="M937" s="10"/>
    </row>
    <row r="938" spans="3:13" ht="12.75">
      <c r="C938" s="92"/>
      <c r="D938" s="92"/>
      <c r="E938" s="92"/>
      <c r="F938" s="92"/>
      <c r="G938" s="92"/>
      <c r="H938" s="93"/>
      <c r="I938" s="90"/>
      <c r="J938" s="90"/>
      <c r="M938" s="10"/>
    </row>
    <row r="939" spans="3:13" ht="12.75">
      <c r="C939" s="92"/>
      <c r="D939" s="92"/>
      <c r="E939" s="92"/>
      <c r="F939" s="92"/>
      <c r="G939" s="92"/>
      <c r="H939" s="93"/>
      <c r="I939" s="90"/>
      <c r="J939" s="90"/>
      <c r="M939" s="10"/>
    </row>
    <row r="940" spans="3:13" ht="12.75">
      <c r="C940" s="92"/>
      <c r="D940" s="92"/>
      <c r="E940" s="92"/>
      <c r="F940" s="92"/>
      <c r="G940" s="92"/>
      <c r="H940" s="93"/>
      <c r="I940" s="90"/>
      <c r="J940" s="90"/>
      <c r="M940" s="10"/>
    </row>
    <row r="941" spans="3:13" ht="12.75">
      <c r="C941" s="92"/>
      <c r="D941" s="92"/>
      <c r="E941" s="92"/>
      <c r="F941" s="92"/>
      <c r="G941" s="92"/>
      <c r="H941" s="93"/>
      <c r="I941" s="90"/>
      <c r="J941" s="90"/>
      <c r="M941" s="10"/>
    </row>
    <row r="942" spans="3:13" ht="12.75">
      <c r="C942" s="92"/>
      <c r="D942" s="92"/>
      <c r="E942" s="92"/>
      <c r="F942" s="92"/>
      <c r="G942" s="92"/>
      <c r="H942" s="93"/>
      <c r="I942" s="90"/>
      <c r="J942" s="90"/>
      <c r="M942" s="10"/>
    </row>
    <row r="943" spans="3:13" ht="12.75">
      <c r="C943" s="92"/>
      <c r="D943" s="92"/>
      <c r="E943" s="92"/>
      <c r="F943" s="92"/>
      <c r="G943" s="92"/>
      <c r="H943" s="93"/>
      <c r="I943" s="90"/>
      <c r="J943" s="90"/>
      <c r="M943" s="10"/>
    </row>
    <row r="944" spans="3:13" ht="12.75">
      <c r="C944" s="92"/>
      <c r="D944" s="92"/>
      <c r="E944" s="92"/>
      <c r="F944" s="92"/>
      <c r="G944" s="92"/>
      <c r="H944" s="93"/>
      <c r="I944" s="90"/>
      <c r="J944" s="90"/>
      <c r="M944" s="10"/>
    </row>
    <row r="945" spans="3:13" ht="12.75">
      <c r="C945" s="92"/>
      <c r="D945" s="92"/>
      <c r="E945" s="92"/>
      <c r="F945" s="92"/>
      <c r="G945" s="92"/>
      <c r="H945" s="93"/>
      <c r="I945" s="90"/>
      <c r="J945" s="90"/>
      <c r="M945" s="10"/>
    </row>
    <row r="946" spans="3:13" ht="12.75">
      <c r="C946" s="92"/>
      <c r="D946" s="92"/>
      <c r="E946" s="92"/>
      <c r="F946" s="92"/>
      <c r="G946" s="92"/>
      <c r="H946" s="93"/>
      <c r="I946" s="90"/>
      <c r="J946" s="90"/>
      <c r="M946" s="10"/>
    </row>
    <row r="947" spans="3:13" ht="12.75">
      <c r="C947" s="92"/>
      <c r="D947" s="92"/>
      <c r="E947" s="92"/>
      <c r="F947" s="92"/>
      <c r="G947" s="92"/>
      <c r="H947" s="93"/>
      <c r="I947" s="90"/>
      <c r="J947" s="90"/>
      <c r="M947" s="10"/>
    </row>
    <row r="948" spans="3:13" ht="12.75">
      <c r="C948" s="92"/>
      <c r="D948" s="92"/>
      <c r="E948" s="92"/>
      <c r="F948" s="92"/>
      <c r="G948" s="92"/>
      <c r="H948" s="93"/>
      <c r="I948" s="90"/>
      <c r="J948" s="90"/>
      <c r="M948" s="10"/>
    </row>
    <row r="949" spans="3:13" ht="12.75">
      <c r="C949" s="92"/>
      <c r="D949" s="92"/>
      <c r="E949" s="92"/>
      <c r="F949" s="92"/>
      <c r="G949" s="92"/>
      <c r="H949" s="93"/>
      <c r="I949" s="90"/>
      <c r="J949" s="90"/>
      <c r="M949" s="10"/>
    </row>
    <row r="950" spans="3:13" ht="12.75">
      <c r="C950" s="92"/>
      <c r="D950" s="92"/>
      <c r="E950" s="92"/>
      <c r="F950" s="92"/>
      <c r="G950" s="92"/>
      <c r="H950" s="93"/>
      <c r="I950" s="90"/>
      <c r="J950" s="90"/>
      <c r="M950" s="10"/>
    </row>
    <row r="951" spans="3:13" ht="12.75">
      <c r="C951" s="92"/>
      <c r="D951" s="92"/>
      <c r="E951" s="92"/>
      <c r="F951" s="92"/>
      <c r="G951" s="92"/>
      <c r="H951" s="93"/>
      <c r="I951" s="90"/>
      <c r="J951" s="90"/>
      <c r="M951" s="10"/>
    </row>
    <row r="952" spans="3:13" ht="12.75">
      <c r="C952" s="92"/>
      <c r="D952" s="92"/>
      <c r="E952" s="92"/>
      <c r="F952" s="92"/>
      <c r="G952" s="92"/>
      <c r="H952" s="93"/>
      <c r="I952" s="90"/>
      <c r="J952" s="90"/>
      <c r="M952" s="10"/>
    </row>
    <row r="953" spans="3:13" ht="12.75">
      <c r="C953" s="92"/>
      <c r="D953" s="92"/>
      <c r="E953" s="92"/>
      <c r="F953" s="92"/>
      <c r="G953" s="92"/>
      <c r="H953" s="93"/>
      <c r="I953" s="90"/>
      <c r="J953" s="90"/>
      <c r="M953" s="10"/>
    </row>
    <row r="954" spans="3:13" ht="12.75">
      <c r="C954" s="92"/>
      <c r="D954" s="92"/>
      <c r="E954" s="92"/>
      <c r="F954" s="92"/>
      <c r="G954" s="92"/>
      <c r="H954" s="93"/>
      <c r="I954" s="90"/>
      <c r="J954" s="90"/>
      <c r="M954" s="10"/>
    </row>
    <row r="955" spans="3:13" ht="12.75">
      <c r="C955" s="92"/>
      <c r="D955" s="92"/>
      <c r="E955" s="92"/>
      <c r="F955" s="92"/>
      <c r="G955" s="92"/>
      <c r="H955" s="93"/>
      <c r="I955" s="90"/>
      <c r="J955" s="90"/>
      <c r="M955" s="10"/>
    </row>
    <row r="956" spans="3:13" ht="12.75">
      <c r="C956" s="92"/>
      <c r="D956" s="92"/>
      <c r="E956" s="92"/>
      <c r="F956" s="92"/>
      <c r="G956" s="92"/>
      <c r="H956" s="93"/>
      <c r="I956" s="90"/>
      <c r="J956" s="90"/>
      <c r="M956" s="10"/>
    </row>
    <row r="957" spans="3:13" ht="12.75">
      <c r="C957" s="92"/>
      <c r="D957" s="92"/>
      <c r="E957" s="92"/>
      <c r="F957" s="92"/>
      <c r="G957" s="92"/>
      <c r="H957" s="93"/>
      <c r="I957" s="90"/>
      <c r="J957" s="90"/>
      <c r="M957" s="10"/>
    </row>
    <row r="958" spans="3:13" ht="12.75">
      <c r="C958" s="92"/>
      <c r="D958" s="92"/>
      <c r="E958" s="92"/>
      <c r="F958" s="92"/>
      <c r="G958" s="92"/>
      <c r="H958" s="93"/>
      <c r="I958" s="90"/>
      <c r="J958" s="90"/>
      <c r="M958" s="10"/>
    </row>
    <row r="959" spans="3:13" ht="12.75">
      <c r="C959" s="92"/>
      <c r="D959" s="92"/>
      <c r="E959" s="92"/>
      <c r="F959" s="92"/>
      <c r="G959" s="92"/>
      <c r="H959" s="93"/>
      <c r="I959" s="90"/>
      <c r="J959" s="90"/>
      <c r="M959" s="10"/>
    </row>
    <row r="960" spans="3:13" ht="12.75">
      <c r="C960" s="92"/>
      <c r="D960" s="92"/>
      <c r="E960" s="92"/>
      <c r="F960" s="92"/>
      <c r="G960" s="92"/>
      <c r="H960" s="93"/>
      <c r="I960" s="90"/>
      <c r="J960" s="90"/>
      <c r="M960" s="10"/>
    </row>
    <row r="961" spans="3:13" ht="12.75">
      <c r="C961" s="92"/>
      <c r="D961" s="92"/>
      <c r="E961" s="92"/>
      <c r="F961" s="92"/>
      <c r="G961" s="92"/>
      <c r="H961" s="93"/>
      <c r="I961" s="90"/>
      <c r="J961" s="90"/>
      <c r="M961" s="10"/>
    </row>
    <row r="962" spans="3:13" ht="12.75">
      <c r="C962" s="92"/>
      <c r="D962" s="92"/>
      <c r="E962" s="92"/>
      <c r="F962" s="92"/>
      <c r="G962" s="92"/>
      <c r="H962" s="93"/>
      <c r="I962" s="90"/>
      <c r="J962" s="90"/>
      <c r="M962" s="10"/>
    </row>
    <row r="963" spans="3:13" ht="12.75">
      <c r="C963" s="92"/>
      <c r="D963" s="92"/>
      <c r="E963" s="92"/>
      <c r="F963" s="92"/>
      <c r="G963" s="92"/>
      <c r="H963" s="93"/>
      <c r="I963" s="90"/>
      <c r="J963" s="90"/>
      <c r="M963" s="10"/>
    </row>
    <row r="964" spans="3:13" ht="12.75">
      <c r="C964" s="92"/>
      <c r="D964" s="92"/>
      <c r="E964" s="92"/>
      <c r="F964" s="92"/>
      <c r="G964" s="92"/>
      <c r="H964" s="93"/>
      <c r="I964" s="90"/>
      <c r="J964" s="90"/>
      <c r="M964" s="10"/>
    </row>
    <row r="965" spans="3:13" ht="12.75">
      <c r="C965" s="92"/>
      <c r="D965" s="92"/>
      <c r="E965" s="92"/>
      <c r="F965" s="92"/>
      <c r="G965" s="92"/>
      <c r="H965" s="93"/>
      <c r="I965" s="90"/>
      <c r="J965" s="90"/>
      <c r="M965" s="10"/>
    </row>
    <row r="966" spans="3:13" ht="12.75">
      <c r="C966" s="92"/>
      <c r="D966" s="92"/>
      <c r="E966" s="92"/>
      <c r="F966" s="92"/>
      <c r="G966" s="92"/>
      <c r="H966" s="93"/>
      <c r="I966" s="90"/>
      <c r="J966" s="90"/>
      <c r="M966" s="10"/>
    </row>
    <row r="967" spans="3:13" ht="12.75">
      <c r="C967" s="92"/>
      <c r="D967" s="92"/>
      <c r="E967" s="92"/>
      <c r="F967" s="92"/>
      <c r="G967" s="92"/>
      <c r="H967" s="93"/>
      <c r="I967" s="90"/>
      <c r="J967" s="90"/>
      <c r="M967" s="10"/>
    </row>
    <row r="968" spans="3:13" ht="12.75">
      <c r="C968" s="92"/>
      <c r="D968" s="92"/>
      <c r="E968" s="92"/>
      <c r="F968" s="92"/>
      <c r="G968" s="92"/>
      <c r="H968" s="93"/>
      <c r="I968" s="90"/>
      <c r="J968" s="90"/>
      <c r="M968" s="10"/>
    </row>
    <row r="969" spans="3:13" ht="12.75">
      <c r="C969" s="92"/>
      <c r="D969" s="92"/>
      <c r="E969" s="92"/>
      <c r="F969" s="92"/>
      <c r="G969" s="92"/>
      <c r="H969" s="93"/>
      <c r="I969" s="90"/>
      <c r="J969" s="90"/>
      <c r="M969" s="10"/>
    </row>
    <row r="970" spans="3:13" ht="12.75">
      <c r="C970" s="92"/>
      <c r="D970" s="92"/>
      <c r="E970" s="92"/>
      <c r="F970" s="92"/>
      <c r="G970" s="92"/>
      <c r="H970" s="93"/>
      <c r="I970" s="90"/>
      <c r="J970" s="90"/>
      <c r="M970" s="10"/>
    </row>
    <row r="971" spans="3:13" ht="12.75">
      <c r="C971" s="92"/>
      <c r="D971" s="92"/>
      <c r="E971" s="92"/>
      <c r="F971" s="92"/>
      <c r="G971" s="92"/>
      <c r="H971" s="93"/>
      <c r="I971" s="90"/>
      <c r="J971" s="90"/>
      <c r="M971" s="10"/>
    </row>
    <row r="972" spans="3:13" ht="12.75">
      <c r="C972" s="92"/>
      <c r="D972" s="92"/>
      <c r="E972" s="92"/>
      <c r="F972" s="92"/>
      <c r="G972" s="92"/>
      <c r="H972" s="93"/>
      <c r="I972" s="90"/>
      <c r="J972" s="90"/>
      <c r="M972" s="10"/>
    </row>
    <row r="973" spans="3:13" ht="12.75">
      <c r="C973" s="92"/>
      <c r="D973" s="92"/>
      <c r="E973" s="92"/>
      <c r="F973" s="92"/>
      <c r="G973" s="92"/>
      <c r="H973" s="93"/>
      <c r="I973" s="90"/>
      <c r="J973" s="90"/>
      <c r="M973" s="10"/>
    </row>
    <row r="974" spans="3:13" ht="12.75">
      <c r="C974" s="92"/>
      <c r="D974" s="92"/>
      <c r="E974" s="92"/>
      <c r="F974" s="92"/>
      <c r="G974" s="92"/>
      <c r="H974" s="93"/>
      <c r="I974" s="90"/>
      <c r="J974" s="90"/>
      <c r="M974" s="10"/>
    </row>
    <row r="975" spans="3:13" ht="12.75">
      <c r="C975" s="92"/>
      <c r="D975" s="92"/>
      <c r="E975" s="92"/>
      <c r="F975" s="92"/>
      <c r="G975" s="92"/>
      <c r="H975" s="93"/>
      <c r="I975" s="90"/>
      <c r="J975" s="90"/>
      <c r="M975" s="10"/>
    </row>
    <row r="976" spans="3:13" ht="12.75">
      <c r="C976" s="92"/>
      <c r="D976" s="92"/>
      <c r="E976" s="92"/>
      <c r="F976" s="92"/>
      <c r="G976" s="92"/>
      <c r="H976" s="93"/>
      <c r="I976" s="90"/>
      <c r="J976" s="90"/>
      <c r="M976" s="10"/>
    </row>
    <row r="977" spans="3:13" ht="12.75">
      <c r="C977" s="92"/>
      <c r="D977" s="92"/>
      <c r="E977" s="92"/>
      <c r="F977" s="92"/>
      <c r="G977" s="92"/>
      <c r="H977" s="93"/>
      <c r="I977" s="90"/>
      <c r="J977" s="90"/>
      <c r="M977" s="10"/>
    </row>
    <row r="978" spans="3:13" ht="12.75">
      <c r="C978" s="92"/>
      <c r="D978" s="92"/>
      <c r="E978" s="92"/>
      <c r="F978" s="92"/>
      <c r="G978" s="92"/>
      <c r="H978" s="93"/>
      <c r="I978" s="90"/>
      <c r="J978" s="90"/>
      <c r="M978" s="10"/>
    </row>
    <row r="979" spans="3:13" ht="12.75">
      <c r="C979" s="92"/>
      <c r="D979" s="92"/>
      <c r="E979" s="92"/>
      <c r="F979" s="92"/>
      <c r="G979" s="92"/>
      <c r="H979" s="93"/>
      <c r="I979" s="90"/>
      <c r="J979" s="90"/>
      <c r="M979" s="10"/>
    </row>
    <row r="980" spans="3:13" ht="12.75">
      <c r="C980" s="92"/>
      <c r="D980" s="92"/>
      <c r="E980" s="92"/>
      <c r="F980" s="92"/>
      <c r="G980" s="92"/>
      <c r="H980" s="93"/>
      <c r="I980" s="90"/>
      <c r="J980" s="90"/>
      <c r="M980" s="10"/>
    </row>
    <row r="981" spans="3:13" ht="12.75">
      <c r="C981" s="92"/>
      <c r="D981" s="92"/>
      <c r="E981" s="92"/>
      <c r="F981" s="92"/>
      <c r="G981" s="92"/>
      <c r="H981" s="93"/>
      <c r="I981" s="90"/>
      <c r="J981" s="90"/>
      <c r="M981" s="10"/>
    </row>
    <row r="982" spans="3:13" ht="12.75">
      <c r="C982" s="92"/>
      <c r="D982" s="92"/>
      <c r="E982" s="92"/>
      <c r="F982" s="92"/>
      <c r="G982" s="92"/>
      <c r="H982" s="93"/>
      <c r="I982" s="90"/>
      <c r="J982" s="90"/>
      <c r="M982" s="10"/>
    </row>
    <row r="983" spans="3:13" ht="12.75">
      <c r="C983" s="92"/>
      <c r="D983" s="92"/>
      <c r="E983" s="92"/>
      <c r="F983" s="92"/>
      <c r="G983" s="92"/>
      <c r="H983" s="93"/>
      <c r="I983" s="90"/>
      <c r="J983" s="90"/>
      <c r="M983" s="10"/>
    </row>
    <row r="984" spans="3:13" ht="12.75">
      <c r="C984" s="92"/>
      <c r="D984" s="92"/>
      <c r="E984" s="92"/>
      <c r="F984" s="92"/>
      <c r="G984" s="92"/>
      <c r="H984" s="93"/>
      <c r="I984" s="90"/>
      <c r="J984" s="90"/>
      <c r="M984" s="10"/>
    </row>
    <row r="985" spans="3:13" ht="12.75">
      <c r="C985" s="92"/>
      <c r="D985" s="92"/>
      <c r="E985" s="92"/>
      <c r="F985" s="92"/>
      <c r="G985" s="92"/>
      <c r="H985" s="93"/>
      <c r="I985" s="90"/>
      <c r="J985" s="90"/>
      <c r="M985" s="10"/>
    </row>
    <row r="986" spans="3:13" ht="12.75">
      <c r="C986" s="92"/>
      <c r="D986" s="92"/>
      <c r="E986" s="92"/>
      <c r="F986" s="92"/>
      <c r="G986" s="92"/>
      <c r="H986" s="93"/>
      <c r="I986" s="90"/>
      <c r="J986" s="90"/>
      <c r="M986" s="10"/>
    </row>
    <row r="987" spans="3:13" ht="12.75">
      <c r="C987" s="92"/>
      <c r="D987" s="92"/>
      <c r="E987" s="92"/>
      <c r="F987" s="92"/>
      <c r="G987" s="92"/>
      <c r="H987" s="93"/>
      <c r="I987" s="90"/>
      <c r="J987" s="90"/>
      <c r="M987" s="10"/>
    </row>
    <row r="988" spans="3:13" ht="12.75">
      <c r="C988" s="92"/>
      <c r="D988" s="92"/>
      <c r="E988" s="92"/>
      <c r="F988" s="92"/>
      <c r="G988" s="92"/>
      <c r="H988" s="93"/>
      <c r="I988" s="90"/>
      <c r="J988" s="90"/>
      <c r="M988" s="10"/>
    </row>
    <row r="989" spans="3:13" ht="12.75">
      <c r="C989" s="92"/>
      <c r="D989" s="92"/>
      <c r="E989" s="92"/>
      <c r="F989" s="92"/>
      <c r="G989" s="92"/>
      <c r="H989" s="93"/>
      <c r="I989" s="90"/>
      <c r="J989" s="90"/>
      <c r="M989" s="10"/>
    </row>
    <row r="990" spans="3:13" ht="12.75">
      <c r="C990" s="92"/>
      <c r="D990" s="92"/>
      <c r="E990" s="92"/>
      <c r="F990" s="92"/>
      <c r="G990" s="92"/>
      <c r="H990" s="93"/>
      <c r="I990" s="90"/>
      <c r="J990" s="90"/>
      <c r="M990" s="10"/>
    </row>
    <row r="991" spans="3:13" ht="12.75">
      <c r="C991" s="92"/>
      <c r="D991" s="92"/>
      <c r="E991" s="92"/>
      <c r="F991" s="92"/>
      <c r="G991" s="92"/>
      <c r="H991" s="93"/>
      <c r="I991" s="90"/>
      <c r="J991" s="90"/>
      <c r="M991" s="10"/>
    </row>
    <row r="992" spans="3:13" ht="12.75">
      <c r="C992" s="92"/>
      <c r="D992" s="92"/>
      <c r="E992" s="92"/>
      <c r="F992" s="92"/>
      <c r="G992" s="92"/>
      <c r="H992" s="93"/>
      <c r="I992" s="90"/>
      <c r="J992" s="90"/>
      <c r="M992" s="10"/>
    </row>
    <row r="993" spans="3:13" ht="12.75">
      <c r="C993" s="92"/>
      <c r="D993" s="92"/>
      <c r="E993" s="92"/>
      <c r="F993" s="92"/>
      <c r="G993" s="92"/>
      <c r="H993" s="93"/>
      <c r="I993" s="90"/>
      <c r="J993" s="90"/>
      <c r="M993" s="10"/>
    </row>
    <row r="994" spans="3:13" ht="12.75">
      <c r="C994" s="92"/>
      <c r="D994" s="92"/>
      <c r="E994" s="92"/>
      <c r="F994" s="92"/>
      <c r="G994" s="92"/>
      <c r="H994" s="93"/>
      <c r="I994" s="90"/>
      <c r="J994" s="90"/>
      <c r="M994" s="10"/>
    </row>
    <row r="995" spans="3:13" ht="12.75">
      <c r="C995" s="92"/>
      <c r="D995" s="92"/>
      <c r="E995" s="92"/>
      <c r="F995" s="92"/>
      <c r="G995" s="92"/>
      <c r="H995" s="93"/>
      <c r="I995" s="90"/>
      <c r="J995" s="90"/>
      <c r="M995" s="10"/>
    </row>
    <row r="996" spans="3:13" ht="12.75">
      <c r="C996" s="92"/>
      <c r="D996" s="92"/>
      <c r="E996" s="92"/>
      <c r="F996" s="92"/>
      <c r="G996" s="92"/>
      <c r="H996" s="93"/>
      <c r="I996" s="90"/>
      <c r="J996" s="90"/>
      <c r="M996" s="10"/>
    </row>
    <row r="997" spans="3:13" ht="12.75">
      <c r="C997" s="92"/>
      <c r="D997" s="92"/>
      <c r="E997" s="92"/>
      <c r="F997" s="92"/>
      <c r="G997" s="92"/>
      <c r="H997" s="93"/>
      <c r="I997" s="90"/>
      <c r="J997" s="90"/>
      <c r="M997" s="10"/>
    </row>
    <row r="998" spans="3:13" ht="12.75">
      <c r="C998" s="92"/>
      <c r="D998" s="92"/>
      <c r="E998" s="92"/>
      <c r="F998" s="92"/>
      <c r="G998" s="92"/>
      <c r="H998" s="93"/>
      <c r="I998" s="90"/>
      <c r="J998" s="90"/>
      <c r="M998" s="10"/>
    </row>
    <row r="999" spans="3:13" ht="12.75">
      <c r="C999" s="92"/>
      <c r="D999" s="92"/>
      <c r="E999" s="92"/>
      <c r="F999" s="92"/>
      <c r="G999" s="92"/>
      <c r="H999" s="93"/>
      <c r="I999" s="90"/>
      <c r="J999" s="90"/>
      <c r="M999" s="10"/>
    </row>
    <row r="1000" spans="3:13" ht="12.75">
      <c r="C1000" s="92"/>
      <c r="D1000" s="92"/>
      <c r="E1000" s="92"/>
      <c r="F1000" s="92"/>
      <c r="G1000" s="92"/>
      <c r="H1000" s="93"/>
      <c r="I1000" s="90"/>
      <c r="J1000" s="90"/>
      <c r="M1000" s="10"/>
    </row>
    <row r="1001" spans="3:13" ht="12.75">
      <c r="C1001" s="92"/>
      <c r="D1001" s="92"/>
      <c r="E1001" s="92"/>
      <c r="F1001" s="92"/>
      <c r="G1001" s="92"/>
      <c r="H1001" s="93"/>
      <c r="I1001" s="90"/>
      <c r="J1001" s="90"/>
      <c r="M1001" s="10"/>
    </row>
    <row r="1002" spans="3:13" ht="12.75">
      <c r="C1002" s="92"/>
      <c r="D1002" s="92"/>
      <c r="E1002" s="92"/>
      <c r="F1002" s="92"/>
      <c r="G1002" s="92"/>
      <c r="H1002" s="93"/>
      <c r="I1002" s="90"/>
      <c r="J1002" s="90"/>
      <c r="M1002" s="10"/>
    </row>
  </sheetData>
  <autoFilter ref="A1:J217" xr:uid="{00000000-0009-0000-0000-000002000000}">
    <filterColumn colId="6">
      <filters>
        <filter val="Alcoba, Mr. John"/>
        <filter val="Almeida, Mrs. Anabela"/>
        <filter val="Alving, Ms. Giuseppina"/>
        <filter val="Bailey, Mrs. Shana"/>
        <filter val="Bailey, Ms. Shana"/>
        <filter val="Buitrago, Mr. Oscar"/>
        <filter val="Burke, Mrs. Arelis"/>
        <filter val="Candanedo, Mr. Nivardo"/>
        <filter val="Cherrick, Mrs. Liliane"/>
        <filter val="Choi, Ms. YoungMee"/>
        <filter val="Cordova-Orellana, Mrs. Kateri"/>
        <filter val="Corrales, Mrs. Sandy"/>
        <filter val="Corrales, Ms. Sandy"/>
        <filter val="De La Cruz, Ms. Maribel"/>
        <filter val="Deugenio Pinel, Ms. Zoe"/>
        <filter val="Ferman, Mrs. Marta"/>
        <filter val="Ferman, Ms. Marta"/>
        <filter val="Garduno Villa, Mr. Eduardo"/>
        <filter val="Gebrehiwot, Ms. Abeba &quot;Abba&quot;"/>
        <filter val="Gilchrist, Mrs. Jade"/>
        <filter val="Gonzalez, Ms. Veronica"/>
        <filter val="Gordon, Ms. Deneen"/>
        <filter val="Granados, Ms. Crystal"/>
        <filter val="Haza, Mrs. Elia"/>
        <filter val="Hentati, Mrs. Saida"/>
        <filter val="Herrara-Jurado, Ms. Dary"/>
        <filter val="Herrera-Jurado, Ms. Dary"/>
        <filter val="Huynh, Ms. Theresa"/>
        <filter val="Jarquin, Mrs. Alejandra"/>
        <filter val="Kassaye, Mr. Abebe"/>
        <filter val="Kim, Ms. Molly"/>
        <filter val="Lambert, Ms. Luz"/>
        <filter val="Laureano, Ms. Melissa"/>
        <filter val="Mebrate, Mr. Getasew"/>
        <filter val="Medrano Romero, Ms. Mirna"/>
        <filter val="Metellus, Ms. Renee"/>
        <filter val="Molina, Mr. Pablo"/>
        <filter val="Moore, Ms. Shanique"/>
        <filter val="Nabavian, Mrs. Farzaneh"/>
        <filter val="Nava, Mrs. Ana"/>
        <filter val="Newlands, Ms. Alicia"/>
        <filter val="Nguyen, Ms. Lan"/>
        <filter val="Nkemleke, Mr. Barnabas"/>
        <filter val="Palleres, Ms. Veronica"/>
        <filter val="Quiroga, Mr. Gonzalo"/>
        <filter val="Raffo, Ms. Giovanna"/>
        <filter val="Romero, Mrs. Sylvia"/>
        <filter val="Rowry Sadur, Ms. Cynthia"/>
        <filter val="Ruiz-Miller, Ms. Sally"/>
        <filter val="Santos, Ms. Patricia"/>
        <filter val="Schoenthal, Mrs. Leticia"/>
        <filter val="Schoenthal, Ms. Leticia"/>
        <filter val="Shen, Ms. Lily"/>
        <filter val="Smith, Mr. Jeremy"/>
        <filter val="Sobalvarro-Ochoa, Mrs. Magda"/>
        <filter val="Tsai, Mrs. Annie"/>
        <filter val="Williams, Ms. Martha"/>
        <filter val="Woods, Ms. Sandra"/>
        <filter val="Zuniga, Ms. Evelyn"/>
      </filters>
    </filterColumn>
  </autoFilter>
  <customSheetViews>
    <customSheetView guid="{DCF8D69F-2C1D-42AD-8FA2-F345EEC1F5E4}" filter="1" showAutoFilter="1">
      <pageMargins left="0.7" right="0.7" top="0.75" bottom="0.75" header="0.3" footer="0.3"/>
      <autoFilter ref="M1:M1002" xr:uid="{00000000-0000-0000-0000-000000000000}"/>
    </customSheetView>
  </customSheetView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59"/>
  <sheetViews>
    <sheetView workbookViewId="0"/>
  </sheetViews>
  <sheetFormatPr defaultColWidth="12.5703125" defaultRowHeight="15.75" customHeight="1"/>
  <sheetData>
    <row r="1" spans="1:6" ht="15.75" customHeight="1">
      <c r="A1" t="str">
        <f ca="1">IFERROR(__xludf.DUMMYFUNCTION("IMPORTRANGE(""1MuWY0T6wi3m6zbpLkxbTeDjMDI3een-qrUgP6KjL88o"",""Current!A:F"")"),"Last Name")</f>
        <v>Last Name</v>
      </c>
      <c r="B1" t="str">
        <f ca="1">IFERROR(__xludf.DUMMYFUNCTION("""COMPUTED_VALUE"""),"First Name")</f>
        <v>First Name</v>
      </c>
      <c r="C1" t="str">
        <f ca="1">IFERROR(__xludf.DUMMYFUNCTION("""COMPUTED_VALUE"""),"Full Name")</f>
        <v>Full Name</v>
      </c>
      <c r="D1" t="str">
        <f ca="1">IFERROR(__xludf.DUMMYFUNCTION("""COMPUTED_VALUE"""),"Position")</f>
        <v>Position</v>
      </c>
      <c r="E1" t="str">
        <f ca="1">IFERROR(__xludf.DUMMYFUNCTION("""COMPUTED_VALUE"""),"Outlook Email")</f>
        <v>Outlook Email</v>
      </c>
      <c r="F1" t="str">
        <f ca="1">IFERROR(__xludf.DUMMYFUNCTION("""COMPUTED_VALUE"""),"Google Email")</f>
        <v>Google Email</v>
      </c>
    </row>
    <row r="2" spans="1:6" ht="15.75" customHeight="1">
      <c r="A2" t="str">
        <f ca="1">IFERROR(__xludf.DUMMYFUNCTION("""COMPUTED_VALUE"""),"Alcoba")</f>
        <v>Alcoba</v>
      </c>
      <c r="B2" t="str">
        <f ca="1">IFERROR(__xludf.DUMMYFUNCTION("""COMPUTED_VALUE"""),"John")</f>
        <v>John</v>
      </c>
      <c r="C2" t="str">
        <f ca="1">IFERROR(__xludf.DUMMYFUNCTION("""COMPUTED_VALUE"""),"John Alcoba")</f>
        <v>John Alcoba</v>
      </c>
      <c r="D2" t="str">
        <f ca="1">IFERROR(__xludf.DUMMYFUNCTION("""COMPUTED_VALUE"""),"parent community coordinator")</f>
        <v>parent community coordinator</v>
      </c>
      <c r="E2" t="str">
        <f ca="1">IFERROR(__xludf.DUMMYFUNCTION("""COMPUTED_VALUE"""),"john_j_alcoba@mcpsmd.org")</f>
        <v>john_j_alcoba@mcpsmd.org</v>
      </c>
      <c r="F2" t="str">
        <f ca="1">IFERROR(__xludf.DUMMYFUNCTION("""COMPUTED_VALUE"""),"john.j.alcoba@mcpsmd.net")</f>
        <v>john.j.alcoba@mcpsmd.net</v>
      </c>
    </row>
    <row r="3" spans="1:6" ht="15.75" customHeight="1">
      <c r="A3" t="str">
        <f ca="1">IFERROR(__xludf.DUMMYFUNCTION("""COMPUTED_VALUE"""),"Almeida")</f>
        <v>Almeida</v>
      </c>
      <c r="B3" t="str">
        <f ca="1">IFERROR(__xludf.DUMMYFUNCTION("""COMPUTED_VALUE"""),"Anabela")</f>
        <v>Anabela</v>
      </c>
      <c r="C3" t="str">
        <f ca="1">IFERROR(__xludf.DUMMYFUNCTION("""COMPUTED_VALUE"""),"Anabela Almeida")</f>
        <v>Anabela Almeida</v>
      </c>
      <c r="D3" t="str">
        <f ca="1">IFERROR(__xludf.DUMMYFUNCTION("""COMPUTED_VALUE"""),"parent community coordinator")</f>
        <v>parent community coordinator</v>
      </c>
      <c r="E3" t="str">
        <f ca="1">IFERROR(__xludf.DUMMYFUNCTION("""COMPUTED_VALUE"""),"anabela_m_almeida@mcpsmd.org")</f>
        <v>anabela_m_almeida@mcpsmd.org</v>
      </c>
      <c r="F3" t="str">
        <f ca="1">IFERROR(__xludf.DUMMYFUNCTION("""COMPUTED_VALUE"""),"anabela.m.almeida@mcpsmd.net")</f>
        <v>anabela.m.almeida@mcpsmd.net</v>
      </c>
    </row>
    <row r="4" spans="1:6" ht="15.75" customHeight="1">
      <c r="A4" t="str">
        <f ca="1">IFERROR(__xludf.DUMMYFUNCTION("""COMPUTED_VALUE"""),"Alving")</f>
        <v>Alving</v>
      </c>
      <c r="B4" t="str">
        <f ca="1">IFERROR(__xludf.DUMMYFUNCTION("""COMPUTED_VALUE"""),"Giuseppina")</f>
        <v>Giuseppina</v>
      </c>
      <c r="C4" t="str">
        <f ca="1">IFERROR(__xludf.DUMMYFUNCTION("""COMPUTED_VALUE"""),"Giuseppina Alving")</f>
        <v>Giuseppina Alving</v>
      </c>
      <c r="D4" t="str">
        <f ca="1">IFERROR(__xludf.DUMMYFUNCTION("""COMPUTED_VALUE"""),"parent community coordinator")</f>
        <v>parent community coordinator</v>
      </c>
      <c r="E4" t="str">
        <f ca="1">IFERROR(__xludf.DUMMYFUNCTION("""COMPUTED_VALUE"""),"giuseppina_alving@mcpsmd.org")</f>
        <v>giuseppina_alving@mcpsmd.org</v>
      </c>
      <c r="F4" t="str">
        <f ca="1">IFERROR(__xludf.DUMMYFUNCTION("""COMPUTED_VALUE"""),"giuseppina.alving@mcpsmd.net")</f>
        <v>giuseppina.alving@mcpsmd.net</v>
      </c>
    </row>
    <row r="5" spans="1:6" ht="15.75" customHeight="1">
      <c r="A5" t="str">
        <f ca="1">IFERROR(__xludf.DUMMYFUNCTION("""COMPUTED_VALUE"""),"Bailey")</f>
        <v>Bailey</v>
      </c>
      <c r="B5" t="str">
        <f ca="1">IFERROR(__xludf.DUMMYFUNCTION("""COMPUTED_VALUE"""),"Shana")</f>
        <v>Shana</v>
      </c>
      <c r="C5" t="str">
        <f ca="1">IFERROR(__xludf.DUMMYFUNCTION("""COMPUTED_VALUE"""),"Shana Bailey")</f>
        <v>Shana Bailey</v>
      </c>
      <c r="D5" t="str">
        <f ca="1">IFERROR(__xludf.DUMMYFUNCTION("""COMPUTED_VALUE"""),"parent community coordinator")</f>
        <v>parent community coordinator</v>
      </c>
      <c r="E5" t="str">
        <f ca="1">IFERROR(__xludf.DUMMYFUNCTION("""COMPUTED_VALUE"""),"shana_e_bailey@mcpsmd.org")</f>
        <v>shana_e_bailey@mcpsmd.org</v>
      </c>
      <c r="F5" t="str">
        <f ca="1">IFERROR(__xludf.DUMMYFUNCTION("""COMPUTED_VALUE"""),"shana.e.bailey@mcpsmd.net")</f>
        <v>shana.e.bailey@mcpsmd.net</v>
      </c>
    </row>
    <row r="6" spans="1:6" ht="15.75" customHeight="1">
      <c r="A6" t="str">
        <f ca="1">IFERROR(__xludf.DUMMYFUNCTION("""COMPUTED_VALUE"""),"Buitrago")</f>
        <v>Buitrago</v>
      </c>
      <c r="B6" t="str">
        <f ca="1">IFERROR(__xludf.DUMMYFUNCTION("""COMPUTED_VALUE"""),"Oscar")</f>
        <v>Oscar</v>
      </c>
      <c r="C6" t="str">
        <f ca="1">IFERROR(__xludf.DUMMYFUNCTION("""COMPUTED_VALUE"""),"Oscar Buitrago")</f>
        <v>Oscar Buitrago</v>
      </c>
      <c r="D6" t="str">
        <f ca="1">IFERROR(__xludf.DUMMYFUNCTION("""COMPUTED_VALUE"""),"parent community coordinator")</f>
        <v>parent community coordinator</v>
      </c>
      <c r="E6" t="str">
        <f ca="1">IFERROR(__xludf.DUMMYFUNCTION("""COMPUTED_VALUE"""),"oscar_a_buitrago@mcpsmd.org")</f>
        <v>oscar_a_buitrago@mcpsmd.org</v>
      </c>
      <c r="F6" t="str">
        <f ca="1">IFERROR(__xludf.DUMMYFUNCTION("""COMPUTED_VALUE"""),"oscar.a.buitrago@mcpsmd.net")</f>
        <v>oscar.a.buitrago@mcpsmd.net</v>
      </c>
    </row>
    <row r="7" spans="1:6" ht="15.75" customHeight="1">
      <c r="A7" t="str">
        <f ca="1">IFERROR(__xludf.DUMMYFUNCTION("""COMPUTED_VALUE"""),"Burke")</f>
        <v>Burke</v>
      </c>
      <c r="B7" t="str">
        <f ca="1">IFERROR(__xludf.DUMMYFUNCTION("""COMPUTED_VALUE"""),"Ree-Ree")</f>
        <v>Ree-Ree</v>
      </c>
      <c r="C7" t="str">
        <f ca="1">IFERROR(__xludf.DUMMYFUNCTION("""COMPUTED_VALUE"""),"Ree-Ree Burke")</f>
        <v>Ree-Ree Burke</v>
      </c>
      <c r="D7" t="str">
        <f ca="1">IFERROR(__xludf.DUMMYFUNCTION("""COMPUTED_VALUE"""),"parent community coordinator")</f>
        <v>parent community coordinator</v>
      </c>
      <c r="E7" t="str">
        <f ca="1">IFERROR(__xludf.DUMMYFUNCTION("""COMPUTED_VALUE"""),"arelis_a_burke@mcpsmd.org")</f>
        <v>arelis_a_burke@mcpsmd.org</v>
      </c>
      <c r="F7" t="str">
        <f ca="1">IFERROR(__xludf.DUMMYFUNCTION("""COMPUTED_VALUE"""),"arelis.a.burke@mcpsmd.net")</f>
        <v>arelis.a.burke@mcpsmd.net</v>
      </c>
    </row>
    <row r="8" spans="1:6" ht="15.75" customHeight="1">
      <c r="A8" t="str">
        <f ca="1">IFERROR(__xludf.DUMMYFUNCTION("""COMPUTED_VALUE"""),"Candanedo")</f>
        <v>Candanedo</v>
      </c>
      <c r="B8" t="str">
        <f ca="1">IFERROR(__xludf.DUMMYFUNCTION("""COMPUTED_VALUE"""),"Nivardo")</f>
        <v>Nivardo</v>
      </c>
      <c r="C8" t="str">
        <f ca="1">IFERROR(__xludf.DUMMYFUNCTION("""COMPUTED_VALUE"""),"Nivardo Candanedo")</f>
        <v>Nivardo Candanedo</v>
      </c>
      <c r="D8" t="str">
        <f ca="1">IFERROR(__xludf.DUMMYFUNCTION("""COMPUTED_VALUE"""),"parent community coordinator")</f>
        <v>parent community coordinator</v>
      </c>
      <c r="E8" t="str">
        <f ca="1">IFERROR(__xludf.DUMMYFUNCTION("""COMPUTED_VALUE"""),"nivardo_candanedo@mcpsmd.org")</f>
        <v>nivardo_candanedo@mcpsmd.org</v>
      </c>
      <c r="F8" t="str">
        <f ca="1">IFERROR(__xludf.DUMMYFUNCTION("""COMPUTED_VALUE"""),"nivardo.candanedo@mcpsmd.net")</f>
        <v>nivardo.candanedo@mcpsmd.net</v>
      </c>
    </row>
    <row r="9" spans="1:6" ht="15.75" customHeight="1">
      <c r="A9" t="str">
        <f ca="1">IFERROR(__xludf.DUMMYFUNCTION("""COMPUTED_VALUE"""),"Cherrick")</f>
        <v>Cherrick</v>
      </c>
      <c r="B9" t="str">
        <f ca="1">IFERROR(__xludf.DUMMYFUNCTION("""COMPUTED_VALUE"""),"Liliane")</f>
        <v>Liliane</v>
      </c>
      <c r="C9" t="str">
        <f ca="1">IFERROR(__xludf.DUMMYFUNCTION("""COMPUTED_VALUE"""),"Liliane Cherrick")</f>
        <v>Liliane Cherrick</v>
      </c>
      <c r="D9" t="str">
        <f ca="1">IFERROR(__xludf.DUMMYFUNCTION("""COMPUTED_VALUE"""),"parent community coordinator")</f>
        <v>parent community coordinator</v>
      </c>
      <c r="E9" t="str">
        <f ca="1">IFERROR(__xludf.DUMMYFUNCTION("""COMPUTED_VALUE"""),"liliane_cherrick@mcpsmd.org")</f>
        <v>liliane_cherrick@mcpsmd.org</v>
      </c>
      <c r="F9" t="str">
        <f ca="1">IFERROR(__xludf.DUMMYFUNCTION("""COMPUTED_VALUE"""),"liliane.cherrick@mcpsmd.net")</f>
        <v>liliane.cherrick@mcpsmd.net</v>
      </c>
    </row>
    <row r="10" spans="1:6" ht="15.75" customHeight="1">
      <c r="A10" t="str">
        <f ca="1">IFERROR(__xludf.DUMMYFUNCTION("""COMPUTED_VALUE"""),"Choi")</f>
        <v>Choi</v>
      </c>
      <c r="B10" t="str">
        <f ca="1">IFERROR(__xludf.DUMMYFUNCTION("""COMPUTED_VALUE"""),"YoungMee")</f>
        <v>YoungMee</v>
      </c>
      <c r="C10" t="str">
        <f ca="1">IFERROR(__xludf.DUMMYFUNCTION("""COMPUTED_VALUE"""),"YoungMee Choi")</f>
        <v>YoungMee Choi</v>
      </c>
      <c r="D10" t="str">
        <f ca="1">IFERROR(__xludf.DUMMYFUNCTION("""COMPUTED_VALUE"""),"parent community coordinator")</f>
        <v>parent community coordinator</v>
      </c>
      <c r="E10" t="str">
        <f ca="1">IFERROR(__xludf.DUMMYFUNCTION("""COMPUTED_VALUE"""),"youngmee_choi@mcpsmd.org")</f>
        <v>youngmee_choi@mcpsmd.org</v>
      </c>
      <c r="F10" t="str">
        <f ca="1">IFERROR(__xludf.DUMMYFUNCTION("""COMPUTED_VALUE"""),"youngmee.choi@mcpsmd.net")</f>
        <v>youngmee.choi@mcpsmd.net</v>
      </c>
    </row>
    <row r="11" spans="1:6" ht="15.75" customHeight="1">
      <c r="A11" t="str">
        <f ca="1">IFERROR(__xludf.DUMMYFUNCTION("""COMPUTED_VALUE"""),"Cordova-Orellana")</f>
        <v>Cordova-Orellana</v>
      </c>
      <c r="B11" t="str">
        <f ca="1">IFERROR(__xludf.DUMMYFUNCTION("""COMPUTED_VALUE"""),"Kateri")</f>
        <v>Kateri</v>
      </c>
      <c r="C11" t="str">
        <f ca="1">IFERROR(__xludf.DUMMYFUNCTION("""COMPUTED_VALUE"""),"Kateri Cordova-Orellana")</f>
        <v>Kateri Cordova-Orellana</v>
      </c>
      <c r="D11" t="str">
        <f ca="1">IFERROR(__xludf.DUMMYFUNCTION("""COMPUTED_VALUE"""),"parent community coordinator")</f>
        <v>parent community coordinator</v>
      </c>
      <c r="E11" t="str">
        <f ca="1">IFERROR(__xludf.DUMMYFUNCTION("""COMPUTED_VALUE"""),"kateri_m_cordova-orellana@mcpsmd.org")</f>
        <v>kateri_m_cordova-orellana@mcpsmd.org</v>
      </c>
      <c r="F11" t="str">
        <f ca="1">IFERROR(__xludf.DUMMYFUNCTION("""COMPUTED_VALUE"""),"kateri.m.cordova-orellana@mcpsmd.net")</f>
        <v>kateri.m.cordova-orellana@mcpsmd.net</v>
      </c>
    </row>
    <row r="12" spans="1:6" ht="15.75" customHeight="1">
      <c r="A12" t="str">
        <f ca="1">IFERROR(__xludf.DUMMYFUNCTION("""COMPUTED_VALUE"""),"Corrales")</f>
        <v>Corrales</v>
      </c>
      <c r="B12" t="str">
        <f ca="1">IFERROR(__xludf.DUMMYFUNCTION("""COMPUTED_VALUE"""),"Sandy")</f>
        <v>Sandy</v>
      </c>
      <c r="C12" t="str">
        <f ca="1">IFERROR(__xludf.DUMMYFUNCTION("""COMPUTED_VALUE"""),"Sandy Corrales")</f>
        <v>Sandy Corrales</v>
      </c>
      <c r="D12" t="str">
        <f ca="1">IFERROR(__xludf.DUMMYFUNCTION("""COMPUTED_VALUE"""),"parent community coordinator")</f>
        <v>parent community coordinator</v>
      </c>
      <c r="E12" t="str">
        <f ca="1">IFERROR(__xludf.DUMMYFUNCTION("""COMPUTED_VALUE"""),"sandy_a_corrales@mcpsmd.org")</f>
        <v>sandy_a_corrales@mcpsmd.org</v>
      </c>
      <c r="F12" t="str">
        <f ca="1">IFERROR(__xludf.DUMMYFUNCTION("""COMPUTED_VALUE"""),"sandy.a.corrales@mcpsmd.net")</f>
        <v>sandy.a.corrales@mcpsmd.net</v>
      </c>
    </row>
    <row r="13" spans="1:6" ht="15.75" customHeight="1">
      <c r="A13" t="str">
        <f ca="1">IFERROR(__xludf.DUMMYFUNCTION("""COMPUTED_VALUE"""),"D'Eugenio Pinel")</f>
        <v>D'Eugenio Pinel</v>
      </c>
      <c r="B13" t="str">
        <f ca="1">IFERROR(__xludf.DUMMYFUNCTION("""COMPUTED_VALUE"""),"Zoe")</f>
        <v>Zoe</v>
      </c>
      <c r="C13" t="str">
        <f ca="1">IFERROR(__xludf.DUMMYFUNCTION("""COMPUTED_VALUE"""),"Zoe D'Eugenio Pinel")</f>
        <v>Zoe D'Eugenio Pinel</v>
      </c>
      <c r="D13" t="str">
        <f ca="1">IFERROR(__xludf.DUMMYFUNCTION("""COMPUTED_VALUE"""),"parent community coordinator")</f>
        <v>parent community coordinator</v>
      </c>
      <c r="E13" t="str">
        <f ca="1">IFERROR(__xludf.DUMMYFUNCTION("""COMPUTED_VALUE"""),"zoe_f_deugeniopinel@mcpsmd.org")</f>
        <v>zoe_f_deugeniopinel@mcpsmd.org</v>
      </c>
      <c r="F13" t="str">
        <f ca="1">IFERROR(__xludf.DUMMYFUNCTION("""COMPUTED_VALUE"""),"zoe.f.deugeniopinel@mcpsmd.net")</f>
        <v>zoe.f.deugeniopinel@mcpsmd.net</v>
      </c>
    </row>
    <row r="14" spans="1:6" ht="15.75" customHeight="1">
      <c r="A14" t="str">
        <f ca="1">IFERROR(__xludf.DUMMYFUNCTION("""COMPUTED_VALUE"""),"Davis")</f>
        <v>Davis</v>
      </c>
      <c r="B14" t="str">
        <f ca="1">IFERROR(__xludf.DUMMYFUNCTION("""COMPUTED_VALUE"""),"Everett")</f>
        <v>Everett</v>
      </c>
      <c r="C14" t="str">
        <f ca="1">IFERROR(__xludf.DUMMYFUNCTION("""COMPUTED_VALUE"""),"Everett Davis")</f>
        <v>Everett Davis</v>
      </c>
      <c r="D14" t="str">
        <f ca="1">IFERROR(__xludf.DUMMYFUNCTION("""COMPUTED_VALUE"""),"director")</f>
        <v>director</v>
      </c>
      <c r="E14" t="str">
        <f ca="1">IFERROR(__xludf.DUMMYFUNCTION("""COMPUTED_VALUE"""),"everett_m_davis@mcpsmd.org")</f>
        <v>everett_m_davis@mcpsmd.org</v>
      </c>
      <c r="F14" t="str">
        <f ca="1">IFERROR(__xludf.DUMMYFUNCTION("""COMPUTED_VALUE"""),"everett.m.davis@mcpsmd.net")</f>
        <v>everett.m.davis@mcpsmd.net</v>
      </c>
    </row>
    <row r="15" spans="1:6" ht="15.75" customHeight="1">
      <c r="A15" t="str">
        <f ca="1">IFERROR(__xludf.DUMMYFUNCTION("""COMPUTED_VALUE"""),"De La Cruz")</f>
        <v>De La Cruz</v>
      </c>
      <c r="B15" t="str">
        <f ca="1">IFERROR(__xludf.DUMMYFUNCTION("""COMPUTED_VALUE"""),"Maribel")</f>
        <v>Maribel</v>
      </c>
      <c r="C15" t="str">
        <f ca="1">IFERROR(__xludf.DUMMYFUNCTION("""COMPUTED_VALUE"""),"Maribel De La Cruz")</f>
        <v>Maribel De La Cruz</v>
      </c>
      <c r="D15" t="str">
        <f ca="1">IFERROR(__xludf.DUMMYFUNCTION("""COMPUTED_VALUE"""),"parent community coordinator")</f>
        <v>parent community coordinator</v>
      </c>
      <c r="E15" t="str">
        <f ca="1">IFERROR(__xludf.DUMMYFUNCTION("""COMPUTED_VALUE"""),"maribel_delacruz@mcpsmd.org")</f>
        <v>maribel_delacruz@mcpsmd.org</v>
      </c>
      <c r="F15" t="str">
        <f ca="1">IFERROR(__xludf.DUMMYFUNCTION("""COMPUTED_VALUE"""),"maribel.delacruz@mcpsmd.net")</f>
        <v>maribel.delacruz@mcpsmd.net</v>
      </c>
    </row>
    <row r="16" spans="1:6" ht="15.75" customHeight="1">
      <c r="A16" t="str">
        <f ca="1">IFERROR(__xludf.DUMMYFUNCTION("""COMPUTED_VALUE"""),"DeCruise-Brown")</f>
        <v>DeCruise-Brown</v>
      </c>
      <c r="B16" t="str">
        <f ca="1">IFERROR(__xludf.DUMMYFUNCTION("""COMPUTED_VALUE"""),"Colleen")</f>
        <v>Colleen</v>
      </c>
      <c r="C16" t="str">
        <f ca="1">IFERROR(__xludf.DUMMYFUNCTION("""COMPUTED_VALUE"""),"Colleen DeCruise-Brown")</f>
        <v>Colleen DeCruise-Brown</v>
      </c>
      <c r="D16" t="str">
        <f ca="1">IFERROR(__xludf.DUMMYFUNCTION("""COMPUTED_VALUE"""),"parent community coordinator")</f>
        <v>parent community coordinator</v>
      </c>
      <c r="E16" t="str">
        <f ca="1">IFERROR(__xludf.DUMMYFUNCTION("""COMPUTED_VALUE"""),"colleen_m_decruise-brown@mcpsmd.org")</f>
        <v>colleen_m_decruise-brown@mcpsmd.org</v>
      </c>
      <c r="F16" t="str">
        <f ca="1">IFERROR(__xludf.DUMMYFUNCTION("""COMPUTED_VALUE"""),"colleen.m.decruise-brown@mcpsmd.net")</f>
        <v>colleen.m.decruise-brown@mcpsmd.net</v>
      </c>
    </row>
    <row r="17" spans="1:6" ht="15.75" customHeight="1">
      <c r="A17" t="str">
        <f ca="1">IFERROR(__xludf.DUMMYFUNCTION("""COMPUTED_VALUE"""),"East")</f>
        <v>East</v>
      </c>
      <c r="B17" t="str">
        <f ca="1">IFERROR(__xludf.DUMMYFUNCTION("""COMPUTED_VALUE"""),"Patricia")</f>
        <v>Patricia</v>
      </c>
      <c r="C17" t="str">
        <f ca="1">IFERROR(__xludf.DUMMYFUNCTION("""COMPUTED_VALUE"""),"Patricia East")</f>
        <v>Patricia East</v>
      </c>
      <c r="D17" t="str">
        <f ca="1">IFERROR(__xludf.DUMMYFUNCTION("""COMPUTED_VALUE"""),"administrative secretary")</f>
        <v>administrative secretary</v>
      </c>
      <c r="E17" t="str">
        <f ca="1">IFERROR(__xludf.DUMMYFUNCTION("""COMPUTED_VALUE"""),"patricia_a_east@mcpsmd.org")</f>
        <v>patricia_a_east@mcpsmd.org</v>
      </c>
      <c r="F17" t="str">
        <f ca="1">IFERROR(__xludf.DUMMYFUNCTION("""COMPUTED_VALUE"""),"patricia.a.east@mcpsmd.net")</f>
        <v>patricia.a.east@mcpsmd.net</v>
      </c>
    </row>
    <row r="18" spans="1:6" ht="15.75" customHeight="1">
      <c r="A18" t="str">
        <f ca="1">IFERROR(__xludf.DUMMYFUNCTION("""COMPUTED_VALUE"""),"Ferman")</f>
        <v>Ferman</v>
      </c>
      <c r="B18" t="str">
        <f ca="1">IFERROR(__xludf.DUMMYFUNCTION("""COMPUTED_VALUE"""),"Marta")</f>
        <v>Marta</v>
      </c>
      <c r="C18" t="str">
        <f ca="1">IFERROR(__xludf.DUMMYFUNCTION("""COMPUTED_VALUE"""),"Marta Ferman")</f>
        <v>Marta Ferman</v>
      </c>
      <c r="D18" t="str">
        <f ca="1">IFERROR(__xludf.DUMMYFUNCTION("""COMPUTED_VALUE"""),"parent community coordinator")</f>
        <v>parent community coordinator</v>
      </c>
      <c r="E18" t="str">
        <f ca="1">IFERROR(__xludf.DUMMYFUNCTION("""COMPUTED_VALUE"""),"marta_s_ferman@mcpsmd.org")</f>
        <v>marta_s_ferman@mcpsmd.org</v>
      </c>
      <c r="F18" t="str">
        <f ca="1">IFERROR(__xludf.DUMMYFUNCTION("""COMPUTED_VALUE"""),"marta.s.ferman@mcpsmd.net")</f>
        <v>marta.s.ferman@mcpsmd.net</v>
      </c>
    </row>
    <row r="19" spans="1:6" ht="15.75" customHeight="1">
      <c r="A19" t="str">
        <f ca="1">IFERROR(__xludf.DUMMYFUNCTION("""COMPUTED_VALUE"""),"Garduno Villa")</f>
        <v>Garduno Villa</v>
      </c>
      <c r="B19" t="str">
        <f ca="1">IFERROR(__xludf.DUMMYFUNCTION("""COMPUTED_VALUE"""),"Eduardo")</f>
        <v>Eduardo</v>
      </c>
      <c r="C19" t="str">
        <f ca="1">IFERROR(__xludf.DUMMYFUNCTION("""COMPUTED_VALUE"""),"Eduardo Garduno Villa")</f>
        <v>Eduardo Garduno Villa</v>
      </c>
      <c r="D19" t="str">
        <f ca="1">IFERROR(__xludf.DUMMYFUNCTION("""COMPUTED_VALUE"""),"parent community coordinator")</f>
        <v>parent community coordinator</v>
      </c>
      <c r="E19" t="str">
        <f ca="1">IFERROR(__xludf.DUMMYFUNCTION("""COMPUTED_VALUE"""),"eduardo_gardunovilla@mcpsmd.org")</f>
        <v>eduardo_gardunovilla@mcpsmd.org</v>
      </c>
      <c r="F19" t="str">
        <f ca="1">IFERROR(__xludf.DUMMYFUNCTION("""COMPUTED_VALUE"""),"eduardo.gardunovilla@mcpsmd.net")</f>
        <v>eduardo.gardunovilla@mcpsmd.net</v>
      </c>
    </row>
    <row r="20" spans="1:6" ht="12.75">
      <c r="A20" t="str">
        <f ca="1">IFERROR(__xludf.DUMMYFUNCTION("""COMPUTED_VALUE"""),"Gebrehiwot")</f>
        <v>Gebrehiwot</v>
      </c>
      <c r="B20" t="str">
        <f ca="1">IFERROR(__xludf.DUMMYFUNCTION("""COMPUTED_VALUE"""),"Abba")</f>
        <v>Abba</v>
      </c>
      <c r="C20" t="str">
        <f ca="1">IFERROR(__xludf.DUMMYFUNCTION("""COMPUTED_VALUE"""),"Abba Gebrehiwot")</f>
        <v>Abba Gebrehiwot</v>
      </c>
      <c r="D20" t="str">
        <f ca="1">IFERROR(__xludf.DUMMYFUNCTION("""COMPUTED_VALUE"""),"parent community coordinator")</f>
        <v>parent community coordinator</v>
      </c>
      <c r="E20" t="str">
        <f ca="1">IFERROR(__xludf.DUMMYFUNCTION("""COMPUTED_VALUE"""),"abeba_gebrehiwot@mcpsmd.org")</f>
        <v>abeba_gebrehiwot@mcpsmd.org</v>
      </c>
      <c r="F20" t="str">
        <f ca="1">IFERROR(__xludf.DUMMYFUNCTION("""COMPUTED_VALUE"""),"abeba.gebrehiwot@mcpsmd.net")</f>
        <v>abeba.gebrehiwot@mcpsmd.net</v>
      </c>
    </row>
    <row r="21" spans="1:6" ht="12.75">
      <c r="A21" t="str">
        <f ca="1">IFERROR(__xludf.DUMMYFUNCTION("""COMPUTED_VALUE"""),"Gilchrist")</f>
        <v>Gilchrist</v>
      </c>
      <c r="B21" t="str">
        <f ca="1">IFERROR(__xludf.DUMMYFUNCTION("""COMPUTED_VALUE"""),"Jade")</f>
        <v>Jade</v>
      </c>
      <c r="C21" t="str">
        <f ca="1">IFERROR(__xludf.DUMMYFUNCTION("""COMPUTED_VALUE"""),"Jade Gilchrist")</f>
        <v>Jade Gilchrist</v>
      </c>
      <c r="D21" t="str">
        <f ca="1">IFERROR(__xludf.DUMMYFUNCTION("""COMPUTED_VALUE"""),"parent community coordinator")</f>
        <v>parent community coordinator</v>
      </c>
      <c r="E21" t="str">
        <f ca="1">IFERROR(__xludf.DUMMYFUNCTION("""COMPUTED_VALUE"""),"jade_l_gilchrist@mcpsmd.org")</f>
        <v>jade_l_gilchrist@mcpsmd.org</v>
      </c>
      <c r="F21" t="str">
        <f ca="1">IFERROR(__xludf.DUMMYFUNCTION("""COMPUTED_VALUE"""),"jade.l.gilchrist@mcpsmd.net")</f>
        <v>jade.l.gilchrist@mcpsmd.net</v>
      </c>
    </row>
    <row r="22" spans="1:6" ht="12.75">
      <c r="A22" t="str">
        <f ca="1">IFERROR(__xludf.DUMMYFUNCTION("""COMPUTED_VALUE"""),"Gonzalez")</f>
        <v>Gonzalez</v>
      </c>
      <c r="B22" t="str">
        <f ca="1">IFERROR(__xludf.DUMMYFUNCTION("""COMPUTED_VALUE"""),"Veronica")</f>
        <v>Veronica</v>
      </c>
      <c r="C22" t="str">
        <f ca="1">IFERROR(__xludf.DUMMYFUNCTION("""COMPUTED_VALUE"""),"Veronica Gonzalez")</f>
        <v>Veronica Gonzalez</v>
      </c>
      <c r="D22" t="str">
        <f ca="1">IFERROR(__xludf.DUMMYFUNCTION("""COMPUTED_VALUE"""),"parent community coordinator")</f>
        <v>parent community coordinator</v>
      </c>
      <c r="E22" t="str">
        <f ca="1">IFERROR(__xludf.DUMMYFUNCTION("""COMPUTED_VALUE"""),"veronica_gonzalez@mcpsmd.org")</f>
        <v>veronica_gonzalez@mcpsmd.org</v>
      </c>
      <c r="F22" t="str">
        <f ca="1">IFERROR(__xludf.DUMMYFUNCTION("""COMPUTED_VALUE"""),"veronica.gonzalez@mcpsmd.net")</f>
        <v>veronica.gonzalez@mcpsmd.net</v>
      </c>
    </row>
    <row r="23" spans="1:6" ht="12.75">
      <c r="A23" t="str">
        <f ca="1">IFERROR(__xludf.DUMMYFUNCTION("""COMPUTED_VALUE"""),"Gordon")</f>
        <v>Gordon</v>
      </c>
      <c r="B23" t="str">
        <f ca="1">IFERROR(__xludf.DUMMYFUNCTION("""COMPUTED_VALUE"""),"Deneen")</f>
        <v>Deneen</v>
      </c>
      <c r="C23" t="str">
        <f ca="1">IFERROR(__xludf.DUMMYFUNCTION("""COMPUTED_VALUE"""),"Deneen Gordon")</f>
        <v>Deneen Gordon</v>
      </c>
      <c r="D23" t="str">
        <f ca="1">IFERROR(__xludf.DUMMYFUNCTION("""COMPUTED_VALUE"""),"parent community coordinator")</f>
        <v>parent community coordinator</v>
      </c>
      <c r="E23" t="str">
        <f ca="1">IFERROR(__xludf.DUMMYFUNCTION("""COMPUTED_VALUE"""),"deneen_l_gordon@mcpsmd.org")</f>
        <v>deneen_l_gordon@mcpsmd.org</v>
      </c>
      <c r="F23" t="str">
        <f ca="1">IFERROR(__xludf.DUMMYFUNCTION("""COMPUTED_VALUE"""),"deneen.l.gordon@mcpsmd.net")</f>
        <v>deneen.l.gordon@mcpsmd.net</v>
      </c>
    </row>
    <row r="24" spans="1:6" ht="12.75">
      <c r="A24" t="str">
        <f ca="1">IFERROR(__xludf.DUMMYFUNCTION("""COMPUTED_VALUE"""),"Granados")</f>
        <v>Granados</v>
      </c>
      <c r="B24" t="str">
        <f ca="1">IFERROR(__xludf.DUMMYFUNCTION("""COMPUTED_VALUE"""),"Crystal")</f>
        <v>Crystal</v>
      </c>
      <c r="C24" t="str">
        <f ca="1">IFERROR(__xludf.DUMMYFUNCTION("""COMPUTED_VALUE"""),"Crystal Granados")</f>
        <v>Crystal Granados</v>
      </c>
      <c r="D24" t="str">
        <f ca="1">IFERROR(__xludf.DUMMYFUNCTION("""COMPUTED_VALUE"""),"parent community coordinator")</f>
        <v>parent community coordinator</v>
      </c>
      <c r="E24" t="str">
        <f ca="1">IFERROR(__xludf.DUMMYFUNCTION("""COMPUTED_VALUE"""),"crystal_granados@mcpsmd.org")</f>
        <v>crystal_granados@mcpsmd.org</v>
      </c>
      <c r="F24" t="str">
        <f ca="1">IFERROR(__xludf.DUMMYFUNCTION("""COMPUTED_VALUE"""),"crystal.granados@mcpsmd.net")</f>
        <v>crystal.granados@mcpsmd.net</v>
      </c>
    </row>
    <row r="25" spans="1:6" ht="12.75">
      <c r="A25" t="str">
        <f ca="1">IFERROR(__xludf.DUMMYFUNCTION("""COMPUTED_VALUE"""),"Haza")</f>
        <v>Haza</v>
      </c>
      <c r="B25" t="str">
        <f ca="1">IFERROR(__xludf.DUMMYFUNCTION("""COMPUTED_VALUE"""),"Elia")</f>
        <v>Elia</v>
      </c>
      <c r="C25" t="str">
        <f ca="1">IFERROR(__xludf.DUMMYFUNCTION("""COMPUTED_VALUE"""),"Elia Haza")</f>
        <v>Elia Haza</v>
      </c>
      <c r="D25" t="str">
        <f ca="1">IFERROR(__xludf.DUMMYFUNCTION("""COMPUTED_VALUE"""),"parent community coordinator")</f>
        <v>parent community coordinator</v>
      </c>
      <c r="E25" t="str">
        <f ca="1">IFERROR(__xludf.DUMMYFUNCTION("""COMPUTED_VALUE"""),"elia_a_haza@mcpsmd.org")</f>
        <v>elia_a_haza@mcpsmd.org</v>
      </c>
      <c r="F25" t="str">
        <f ca="1">IFERROR(__xludf.DUMMYFUNCTION("""COMPUTED_VALUE"""),"elia.a.haza@mcpsmd.net")</f>
        <v>elia.a.haza@mcpsmd.net</v>
      </c>
    </row>
    <row r="26" spans="1:6" ht="12.75">
      <c r="A26" t="str">
        <f ca="1">IFERROR(__xludf.DUMMYFUNCTION("""COMPUTED_VALUE"""),"Hentati")</f>
        <v>Hentati</v>
      </c>
      <c r="B26" t="str">
        <f ca="1">IFERROR(__xludf.DUMMYFUNCTION("""COMPUTED_VALUE"""),"Saida")</f>
        <v>Saida</v>
      </c>
      <c r="C26" t="str">
        <f ca="1">IFERROR(__xludf.DUMMYFUNCTION("""COMPUTED_VALUE"""),"Saida Hentati")</f>
        <v>Saida Hentati</v>
      </c>
      <c r="D26" t="str">
        <f ca="1">IFERROR(__xludf.DUMMYFUNCTION("""COMPUTED_VALUE"""),"parent community coordinator")</f>
        <v>parent community coordinator</v>
      </c>
      <c r="E26" t="str">
        <f ca="1">IFERROR(__xludf.DUMMYFUNCTION("""COMPUTED_VALUE"""),"saida_hentati@mcpsmd.org")</f>
        <v>saida_hentati@mcpsmd.org</v>
      </c>
      <c r="F26" t="str">
        <f ca="1">IFERROR(__xludf.DUMMYFUNCTION("""COMPUTED_VALUE"""),"saida.hentati@mcpsmd.net")</f>
        <v>saida.hentati@mcpsmd.net</v>
      </c>
    </row>
    <row r="27" spans="1:6" ht="12.75">
      <c r="A27" t="str">
        <f ca="1">IFERROR(__xludf.DUMMYFUNCTION("""COMPUTED_VALUE"""),"Herrera-Jurado")</f>
        <v>Herrera-Jurado</v>
      </c>
      <c r="B27" t="str">
        <f ca="1">IFERROR(__xludf.DUMMYFUNCTION("""COMPUTED_VALUE"""),"Dary")</f>
        <v>Dary</v>
      </c>
      <c r="C27" t="str">
        <f ca="1">IFERROR(__xludf.DUMMYFUNCTION("""COMPUTED_VALUE"""),"Dary Herrera-Jurado")</f>
        <v>Dary Herrera-Jurado</v>
      </c>
      <c r="D27" t="str">
        <f ca="1">IFERROR(__xludf.DUMMYFUNCTION("""COMPUTED_VALUE"""),"parent community coordinator")</f>
        <v>parent community coordinator</v>
      </c>
      <c r="E27" t="str">
        <f ca="1">IFERROR(__xludf.DUMMYFUNCTION("""COMPUTED_VALUE"""),"dary_y_herrera-jurado@mcpsmd.org")</f>
        <v>dary_y_herrera-jurado@mcpsmd.org</v>
      </c>
      <c r="F27" t="str">
        <f ca="1">IFERROR(__xludf.DUMMYFUNCTION("""COMPUTED_VALUE"""),"dary.y.herrera-jurado@mcpsmd.net")</f>
        <v>dary.y.herrera-jurado@mcpsmd.net</v>
      </c>
    </row>
    <row r="28" spans="1:6" ht="12.75">
      <c r="A28" t="str">
        <f ca="1">IFERROR(__xludf.DUMMYFUNCTION("""COMPUTED_VALUE"""),"Huynh")</f>
        <v>Huynh</v>
      </c>
      <c r="B28" t="str">
        <f ca="1">IFERROR(__xludf.DUMMYFUNCTION("""COMPUTED_VALUE"""),"Theresa")</f>
        <v>Theresa</v>
      </c>
      <c r="C28" t="str">
        <f ca="1">IFERROR(__xludf.DUMMYFUNCTION("""COMPUTED_VALUE"""),"Theresa Huynh")</f>
        <v>Theresa Huynh</v>
      </c>
      <c r="D28" t="str">
        <f ca="1">IFERROR(__xludf.DUMMYFUNCTION("""COMPUTED_VALUE"""),"parent community coordinator")</f>
        <v>parent community coordinator</v>
      </c>
      <c r="E28" t="str">
        <f ca="1">IFERROR(__xludf.DUMMYFUNCTION("""COMPUTED_VALUE"""),"theresa_p_huynh@mcpsmd.org")</f>
        <v>theresa_p_huynh@mcpsmd.org</v>
      </c>
      <c r="F28" t="str">
        <f ca="1">IFERROR(__xludf.DUMMYFUNCTION("""COMPUTED_VALUE"""),"theresa.p.huynh@mcpsmd.net")</f>
        <v>theresa.p.huynh@mcpsmd.net</v>
      </c>
    </row>
    <row r="29" spans="1:6" ht="12.75">
      <c r="A29" t="str">
        <f ca="1">IFERROR(__xludf.DUMMYFUNCTION("""COMPUTED_VALUE"""),"Jarquin")</f>
        <v>Jarquin</v>
      </c>
      <c r="B29" t="str">
        <f ca="1">IFERROR(__xludf.DUMMYFUNCTION("""COMPUTED_VALUE"""),"Alejandra")</f>
        <v>Alejandra</v>
      </c>
      <c r="C29" t="str">
        <f ca="1">IFERROR(__xludf.DUMMYFUNCTION("""COMPUTED_VALUE"""),"Alejandra Jarquin")</f>
        <v>Alejandra Jarquin</v>
      </c>
      <c r="D29" t="str">
        <f ca="1">IFERROR(__xludf.DUMMYFUNCTION("""COMPUTED_VALUE"""),"parent community coordinator")</f>
        <v>parent community coordinator</v>
      </c>
      <c r="E29" t="str">
        <f ca="1">IFERROR(__xludf.DUMMYFUNCTION("""COMPUTED_VALUE"""),"alejandra_g_jarquin@mcpsmd.org")</f>
        <v>alejandra_g_jarquin@mcpsmd.org</v>
      </c>
      <c r="F29" t="str">
        <f ca="1">IFERROR(__xludf.DUMMYFUNCTION("""COMPUTED_VALUE"""),"alejandra.g.jarquin@mcpsmd.net")</f>
        <v>alejandra.g.jarquin@mcpsmd.net</v>
      </c>
    </row>
    <row r="30" spans="1:6" ht="12.75">
      <c r="A30" t="str">
        <f ca="1">IFERROR(__xludf.DUMMYFUNCTION("""COMPUTED_VALUE"""),"Kassaye")</f>
        <v>Kassaye</v>
      </c>
      <c r="B30" t="str">
        <f ca="1">IFERROR(__xludf.DUMMYFUNCTION("""COMPUTED_VALUE"""),"Abebe")</f>
        <v>Abebe</v>
      </c>
      <c r="C30" t="str">
        <f ca="1">IFERROR(__xludf.DUMMYFUNCTION("""COMPUTED_VALUE"""),"Abebe Kassaye")</f>
        <v>Abebe Kassaye</v>
      </c>
      <c r="D30" t="str">
        <f ca="1">IFERROR(__xludf.DUMMYFUNCTION("""COMPUTED_VALUE"""),"parent community coordinator")</f>
        <v>parent community coordinator</v>
      </c>
      <c r="E30" t="str">
        <f ca="1">IFERROR(__xludf.DUMMYFUNCTION("""COMPUTED_VALUE"""),"abebe_g_kassaye@mcpsmd.org")</f>
        <v>abebe_g_kassaye@mcpsmd.org</v>
      </c>
      <c r="F30" t="str">
        <f ca="1">IFERROR(__xludf.DUMMYFUNCTION("""COMPUTED_VALUE"""),"abebe.g.kassaye@mcpsmd.net")</f>
        <v>abebe.g.kassaye@mcpsmd.net</v>
      </c>
    </row>
    <row r="31" spans="1:6" ht="12.75">
      <c r="A31" t="str">
        <f ca="1">IFERROR(__xludf.DUMMYFUNCTION("""COMPUTED_VALUE"""),"Kim")</f>
        <v>Kim</v>
      </c>
      <c r="B31" t="str">
        <f ca="1">IFERROR(__xludf.DUMMYFUNCTION("""COMPUTED_VALUE"""),"Molly")</f>
        <v>Molly</v>
      </c>
      <c r="C31" t="str">
        <f ca="1">IFERROR(__xludf.DUMMYFUNCTION("""COMPUTED_VALUE"""),"Molly Kim")</f>
        <v>Molly Kim</v>
      </c>
      <c r="D31" t="str">
        <f ca="1">IFERROR(__xludf.DUMMYFUNCTION("""COMPUTED_VALUE"""),"parent community coordinator")</f>
        <v>parent community coordinator</v>
      </c>
      <c r="E31" t="str">
        <f ca="1">IFERROR(__xludf.DUMMYFUNCTION("""COMPUTED_VALUE"""),"molly_s_kim@mcpsmd.org")</f>
        <v>molly_s_kim@mcpsmd.org</v>
      </c>
      <c r="F31" t="str">
        <f ca="1">IFERROR(__xludf.DUMMYFUNCTION("""COMPUTED_VALUE"""),"molly.s.kim@mcpsmd.net")</f>
        <v>molly.s.kim@mcpsmd.net</v>
      </c>
    </row>
    <row r="32" spans="1:6" ht="12.75">
      <c r="A32" t="str">
        <f ca="1">IFERROR(__xludf.DUMMYFUNCTION("""COMPUTED_VALUE"""),"Lambert")</f>
        <v>Lambert</v>
      </c>
      <c r="B32" t="str">
        <f ca="1">IFERROR(__xludf.DUMMYFUNCTION("""COMPUTED_VALUE"""),"Luz")</f>
        <v>Luz</v>
      </c>
      <c r="C32" t="str">
        <f ca="1">IFERROR(__xludf.DUMMYFUNCTION("""COMPUTED_VALUE"""),"Luz Lambert")</f>
        <v>Luz Lambert</v>
      </c>
      <c r="D32" t="str">
        <f ca="1">IFERROR(__xludf.DUMMYFUNCTION("""COMPUTED_VALUE"""),"parent community coordinator")</f>
        <v>parent community coordinator</v>
      </c>
      <c r="E32" t="str">
        <f ca="1">IFERROR(__xludf.DUMMYFUNCTION("""COMPUTED_VALUE"""),"luz_s_lambert@mcpsmd.org")</f>
        <v>luz_s_lambert@mcpsmd.org</v>
      </c>
      <c r="F32" t="str">
        <f ca="1">IFERROR(__xludf.DUMMYFUNCTION("""COMPUTED_VALUE"""),"luz.s.lambert@mcpsmd.net")</f>
        <v>luz.s.lambert@mcpsmd.net</v>
      </c>
    </row>
    <row r="33" spans="1:6" ht="12.75">
      <c r="A33" t="str">
        <f ca="1">IFERROR(__xludf.DUMMYFUNCTION("""COMPUTED_VALUE"""),"Laureano")</f>
        <v>Laureano</v>
      </c>
      <c r="B33" t="str">
        <f ca="1">IFERROR(__xludf.DUMMYFUNCTION("""COMPUTED_VALUE"""),"Melissa")</f>
        <v>Melissa</v>
      </c>
      <c r="C33" t="str">
        <f ca="1">IFERROR(__xludf.DUMMYFUNCTION("""COMPUTED_VALUE"""),"Melissa Laureano")</f>
        <v>Melissa Laureano</v>
      </c>
      <c r="D33" t="str">
        <f ca="1">IFERROR(__xludf.DUMMYFUNCTION("""COMPUTED_VALUE"""),"parent community coordinator")</f>
        <v>parent community coordinator</v>
      </c>
      <c r="E33" t="str">
        <f ca="1">IFERROR(__xludf.DUMMYFUNCTION("""COMPUTED_VALUE"""),"melissa_i_laureano@mcpsmd.org")</f>
        <v>melissa_i_laureano@mcpsmd.org</v>
      </c>
      <c r="F33" t="str">
        <f ca="1">IFERROR(__xludf.DUMMYFUNCTION("""COMPUTED_VALUE"""),"melissa.i.laureano@mcpsmd.net")</f>
        <v>melissa.i.laureano@mcpsmd.net</v>
      </c>
    </row>
    <row r="34" spans="1:6" ht="12.75">
      <c r="A34" t="str">
        <f ca="1">IFERROR(__xludf.DUMMYFUNCTION("""COMPUTED_VALUE"""),"Mebrate")</f>
        <v>Mebrate</v>
      </c>
      <c r="B34" t="str">
        <f ca="1">IFERROR(__xludf.DUMMYFUNCTION("""COMPUTED_VALUE"""),"Getasew")</f>
        <v>Getasew</v>
      </c>
      <c r="C34" t="str">
        <f ca="1">IFERROR(__xludf.DUMMYFUNCTION("""COMPUTED_VALUE"""),"Getasew Mebrate")</f>
        <v>Getasew Mebrate</v>
      </c>
      <c r="D34" t="str">
        <f ca="1">IFERROR(__xludf.DUMMYFUNCTION("""COMPUTED_VALUE"""),"parent community coordinator")</f>
        <v>parent community coordinator</v>
      </c>
      <c r="E34" t="str">
        <f ca="1">IFERROR(__xludf.DUMMYFUNCTION("""COMPUTED_VALUE"""),"getasew_j_mebrate@mcpsmd.org")</f>
        <v>getasew_j_mebrate@mcpsmd.org</v>
      </c>
      <c r="F34" t="str">
        <f ca="1">IFERROR(__xludf.DUMMYFUNCTION("""COMPUTED_VALUE"""),"getasew.j.mebrate@mcpsmd.net")</f>
        <v>getasew.j.mebrate@mcpsmd.net</v>
      </c>
    </row>
    <row r="35" spans="1:6" ht="12.75">
      <c r="A35" t="str">
        <f ca="1">IFERROR(__xludf.DUMMYFUNCTION("""COMPUTED_VALUE"""),"Medrano-Romero")</f>
        <v>Medrano-Romero</v>
      </c>
      <c r="B35" t="str">
        <f ca="1">IFERROR(__xludf.DUMMYFUNCTION("""COMPUTED_VALUE"""),"Mirna")</f>
        <v>Mirna</v>
      </c>
      <c r="C35" t="str">
        <f ca="1">IFERROR(__xludf.DUMMYFUNCTION("""COMPUTED_VALUE"""),"Mirna Medrano-Romero")</f>
        <v>Mirna Medrano-Romero</v>
      </c>
      <c r="D35" t="str">
        <f ca="1">IFERROR(__xludf.DUMMYFUNCTION("""COMPUTED_VALUE"""),"parent community coordinator")</f>
        <v>parent community coordinator</v>
      </c>
      <c r="E35" t="str">
        <f ca="1">IFERROR(__xludf.DUMMYFUNCTION("""COMPUTED_VALUE"""),"mirna_a_medrano-romero@mcpsmd.org")</f>
        <v>mirna_a_medrano-romero@mcpsmd.org</v>
      </c>
      <c r="F35" t="str">
        <f ca="1">IFERROR(__xludf.DUMMYFUNCTION("""COMPUTED_VALUE"""),"mirna.a.medrano-romero@mcpsmd.net")</f>
        <v>mirna.a.medrano-romero@mcpsmd.net</v>
      </c>
    </row>
    <row r="36" spans="1:6" ht="12.75">
      <c r="A36" t="str">
        <f ca="1">IFERROR(__xludf.DUMMYFUNCTION("""COMPUTED_VALUE"""),"Molina Chemali")</f>
        <v>Molina Chemali</v>
      </c>
      <c r="B36" t="str">
        <f ca="1">IFERROR(__xludf.DUMMYFUNCTION("""COMPUTED_VALUE"""),"Pablo")</f>
        <v>Pablo</v>
      </c>
      <c r="C36" t="str">
        <f ca="1">IFERROR(__xludf.DUMMYFUNCTION("""COMPUTED_VALUE"""),"Pablo Molina Chemali")</f>
        <v>Pablo Molina Chemali</v>
      </c>
      <c r="D36" t="str">
        <f ca="1">IFERROR(__xludf.DUMMYFUNCTION("""COMPUTED_VALUE"""),"parent community coordinator")</f>
        <v>parent community coordinator</v>
      </c>
      <c r="E36" t="str">
        <f ca="1">IFERROR(__xludf.DUMMYFUNCTION("""COMPUTED_VALUE"""),"pablo_i_molinachemali@mcpsmd.org")</f>
        <v>pablo_i_molinachemali@mcpsmd.org</v>
      </c>
      <c r="F36" t="str">
        <f ca="1">IFERROR(__xludf.DUMMYFUNCTION("""COMPUTED_VALUE"""),"pablo.i.molinachemali@mcpsmd.net")</f>
        <v>pablo.i.molinachemali@mcpsmd.net</v>
      </c>
    </row>
    <row r="37" spans="1:6" ht="12.75">
      <c r="A37" t="str">
        <f ca="1">IFERROR(__xludf.DUMMYFUNCTION("""COMPUTED_VALUE"""),"Moore")</f>
        <v>Moore</v>
      </c>
      <c r="B37" t="str">
        <f ca="1">IFERROR(__xludf.DUMMYFUNCTION("""COMPUTED_VALUE"""),"Shanique")</f>
        <v>Shanique</v>
      </c>
      <c r="C37" t="str">
        <f ca="1">IFERROR(__xludf.DUMMYFUNCTION("""COMPUTED_VALUE"""),"Shanique Moore")</f>
        <v>Shanique Moore</v>
      </c>
      <c r="D37" t="str">
        <f ca="1">IFERROR(__xludf.DUMMYFUNCTION("""COMPUTED_VALUE"""),"parent community coordinator")</f>
        <v>parent community coordinator</v>
      </c>
      <c r="E37" t="str">
        <f ca="1">IFERROR(__xludf.DUMMYFUNCTION("""COMPUTED_VALUE"""),"shanique_v_moore@mcpsmd.org")</f>
        <v>shanique_v_moore@mcpsmd.org</v>
      </c>
      <c r="F37" t="str">
        <f ca="1">IFERROR(__xludf.DUMMYFUNCTION("""COMPUTED_VALUE"""),"shanique.v.moore@mcpsmd.net")</f>
        <v>shanique.v.moore@mcpsmd.net</v>
      </c>
    </row>
    <row r="38" spans="1:6" ht="12.75">
      <c r="A38" t="str">
        <f ca="1">IFERROR(__xludf.DUMMYFUNCTION("""COMPUTED_VALUE"""),"Nabavian")</f>
        <v>Nabavian</v>
      </c>
      <c r="B38" t="str">
        <f ca="1">IFERROR(__xludf.DUMMYFUNCTION("""COMPUTED_VALUE"""),"Farzaneh")</f>
        <v>Farzaneh</v>
      </c>
      <c r="C38" t="str">
        <f ca="1">IFERROR(__xludf.DUMMYFUNCTION("""COMPUTED_VALUE"""),"Farzaneh Nabavian")</f>
        <v>Farzaneh Nabavian</v>
      </c>
      <c r="D38" t="str">
        <f ca="1">IFERROR(__xludf.DUMMYFUNCTION("""COMPUTED_VALUE"""),"parent community coordinator")</f>
        <v>parent community coordinator</v>
      </c>
      <c r="E38" t="str">
        <f ca="1">IFERROR(__xludf.DUMMYFUNCTION("""COMPUTED_VALUE"""),"farzaneh_nabavian@mcpsmd.org")</f>
        <v>farzaneh_nabavian@mcpsmd.org</v>
      </c>
      <c r="F38" t="str">
        <f ca="1">IFERROR(__xludf.DUMMYFUNCTION("""COMPUTED_VALUE"""),"farzaneh.nabavian@mcpsmd.net")</f>
        <v>farzaneh.nabavian@mcpsmd.net</v>
      </c>
    </row>
    <row r="39" spans="1:6" ht="12.75">
      <c r="A39" t="str">
        <f ca="1">IFERROR(__xludf.DUMMYFUNCTION("""COMPUTED_VALUE"""),"Nava")</f>
        <v>Nava</v>
      </c>
      <c r="B39" t="str">
        <f ca="1">IFERROR(__xludf.DUMMYFUNCTION("""COMPUTED_VALUE"""),"Ana")</f>
        <v>Ana</v>
      </c>
      <c r="C39" t="str">
        <f ca="1">IFERROR(__xludf.DUMMYFUNCTION("""COMPUTED_VALUE"""),"Ana Nava")</f>
        <v>Ana Nava</v>
      </c>
      <c r="D39" t="str">
        <f ca="1">IFERROR(__xludf.DUMMYFUNCTION("""COMPUTED_VALUE"""),"parent community coordinator")</f>
        <v>parent community coordinator</v>
      </c>
      <c r="E39" t="str">
        <f ca="1">IFERROR(__xludf.DUMMYFUNCTION("""COMPUTED_VALUE"""),"ana_l_nava@mcpsmd.org")</f>
        <v>ana_l_nava@mcpsmd.org</v>
      </c>
      <c r="F39" t="str">
        <f ca="1">IFERROR(__xludf.DUMMYFUNCTION("""COMPUTED_VALUE"""),"ana.l.nava@mcpsmd.net")</f>
        <v>ana.l.nava@mcpsmd.net</v>
      </c>
    </row>
    <row r="40" spans="1:6" ht="12.75">
      <c r="A40" t="str">
        <f ca="1">IFERROR(__xludf.DUMMYFUNCTION("""COMPUTED_VALUE"""),"Newlands")</f>
        <v>Newlands</v>
      </c>
      <c r="B40" t="str">
        <f ca="1">IFERROR(__xludf.DUMMYFUNCTION("""COMPUTED_VALUE"""),"Alicia")</f>
        <v>Alicia</v>
      </c>
      <c r="C40" t="str">
        <f ca="1">IFERROR(__xludf.DUMMYFUNCTION("""COMPUTED_VALUE"""),"Alicia Newlands")</f>
        <v>Alicia Newlands</v>
      </c>
      <c r="D40" t="str">
        <f ca="1">IFERROR(__xludf.DUMMYFUNCTION("""COMPUTED_VALUE"""),"parent community coordinator")</f>
        <v>parent community coordinator</v>
      </c>
      <c r="E40" t="str">
        <f ca="1">IFERROR(__xludf.DUMMYFUNCTION("""COMPUTED_VALUE"""),"alicia_p_newlands@mcpsmd.org")</f>
        <v>alicia_p_newlands@mcpsmd.org</v>
      </c>
      <c r="F40" t="str">
        <f ca="1">IFERROR(__xludf.DUMMYFUNCTION("""COMPUTED_VALUE"""),"alicia.p.newlands@mcpsmd.net")</f>
        <v>alicia.p.newlands@mcpsmd.net</v>
      </c>
    </row>
    <row r="41" spans="1:6" ht="12.75">
      <c r="A41" t="str">
        <f ca="1">IFERROR(__xludf.DUMMYFUNCTION("""COMPUTED_VALUE"""),"Nguyen")</f>
        <v>Nguyen</v>
      </c>
      <c r="B41" t="str">
        <f ca="1">IFERROR(__xludf.DUMMYFUNCTION("""COMPUTED_VALUE"""),"Lan")</f>
        <v>Lan</v>
      </c>
      <c r="C41" t="str">
        <f ca="1">IFERROR(__xludf.DUMMYFUNCTION("""COMPUTED_VALUE"""),"Lan Nguyen")</f>
        <v>Lan Nguyen</v>
      </c>
      <c r="D41" t="str">
        <f ca="1">IFERROR(__xludf.DUMMYFUNCTION("""COMPUTED_VALUE"""),"parent community coordinator")</f>
        <v>parent community coordinator</v>
      </c>
      <c r="E41" t="str">
        <f ca="1">IFERROR(__xludf.DUMMYFUNCTION("""COMPUTED_VALUE"""),"lan_n_nguyen@mcpsmd.org")</f>
        <v>lan_n_nguyen@mcpsmd.org</v>
      </c>
      <c r="F41" t="str">
        <f ca="1">IFERROR(__xludf.DUMMYFUNCTION("""COMPUTED_VALUE"""),"lan.n.nguyen@mcpsmd.net")</f>
        <v>lan.n.nguyen@mcpsmd.net</v>
      </c>
    </row>
    <row r="42" spans="1:6" ht="12.75">
      <c r="A42" t="str">
        <f ca="1">IFERROR(__xludf.DUMMYFUNCTION("""COMPUTED_VALUE"""),"Nkemleke")</f>
        <v>Nkemleke</v>
      </c>
      <c r="B42" t="str">
        <f ca="1">IFERROR(__xludf.DUMMYFUNCTION("""COMPUTED_VALUE"""),"Barnabas")</f>
        <v>Barnabas</v>
      </c>
      <c r="C42" t="str">
        <f ca="1">IFERROR(__xludf.DUMMYFUNCTION("""COMPUTED_VALUE"""),"Barnabas Nkemleke")</f>
        <v>Barnabas Nkemleke</v>
      </c>
      <c r="D42" t="str">
        <f ca="1">IFERROR(__xludf.DUMMYFUNCTION("""COMPUTED_VALUE"""),"parent community coordinator")</f>
        <v>parent community coordinator</v>
      </c>
      <c r="E42" t="str">
        <f ca="1">IFERROR(__xludf.DUMMYFUNCTION("""COMPUTED_VALUE"""),"asonglefac_b_nkemleke@mcpsmd.org")</f>
        <v>asonglefac_b_nkemleke@mcpsmd.org</v>
      </c>
      <c r="F42" t="str">
        <f ca="1">IFERROR(__xludf.DUMMYFUNCTION("""COMPUTED_VALUE"""),"asonglefac.b.nkemleke@mcpsmd.net")</f>
        <v>asonglefac.b.nkemleke@mcpsmd.net</v>
      </c>
    </row>
    <row r="43" spans="1:6" ht="12.75">
      <c r="A43" t="str">
        <f ca="1">IFERROR(__xludf.DUMMYFUNCTION("""COMPUTED_VALUE"""),"Palleres")</f>
        <v>Palleres</v>
      </c>
      <c r="B43" t="str">
        <f ca="1">IFERROR(__xludf.DUMMYFUNCTION("""COMPUTED_VALUE"""),"Veronica")</f>
        <v>Veronica</v>
      </c>
      <c r="C43" t="str">
        <f ca="1">IFERROR(__xludf.DUMMYFUNCTION("""COMPUTED_VALUE"""),"Veronica Palleres")</f>
        <v>Veronica Palleres</v>
      </c>
      <c r="D43" t="str">
        <f ca="1">IFERROR(__xludf.DUMMYFUNCTION("""COMPUTED_VALUE"""),"parent community coordinator")</f>
        <v>parent community coordinator</v>
      </c>
      <c r="E43" t="str">
        <f ca="1">IFERROR(__xludf.DUMMYFUNCTION("""COMPUTED_VALUE"""),"veronica_i_palleres@mcpsmd.org")</f>
        <v>veronica_i_palleres@mcpsmd.org</v>
      </c>
      <c r="F43" t="str">
        <f ca="1">IFERROR(__xludf.DUMMYFUNCTION("""COMPUTED_VALUE"""),"veronica.i.palleres@mcpsmd.net")</f>
        <v>veronica.i.palleres@mcpsmd.net</v>
      </c>
    </row>
    <row r="44" spans="1:6" ht="12.75">
      <c r="A44" t="str">
        <f ca="1">IFERROR(__xludf.DUMMYFUNCTION("""COMPUTED_VALUE"""),"Quiroga")</f>
        <v>Quiroga</v>
      </c>
      <c r="B44" t="str">
        <f ca="1">IFERROR(__xludf.DUMMYFUNCTION("""COMPUTED_VALUE"""),"Gonzalo")</f>
        <v>Gonzalo</v>
      </c>
      <c r="C44" t="str">
        <f ca="1">IFERROR(__xludf.DUMMYFUNCTION("""COMPUTED_VALUE"""),"Gonzalo Quiroga")</f>
        <v>Gonzalo Quiroga</v>
      </c>
      <c r="D44" t="str">
        <f ca="1">IFERROR(__xludf.DUMMYFUNCTION("""COMPUTED_VALUE"""),"parent community coordinator")</f>
        <v>parent community coordinator</v>
      </c>
      <c r="E44" t="str">
        <f ca="1">IFERROR(__xludf.DUMMYFUNCTION("""COMPUTED_VALUE"""),"gonzalo_m_quiroga@mcpsmd.org")</f>
        <v>gonzalo_m_quiroga@mcpsmd.org</v>
      </c>
      <c r="F44" t="str">
        <f ca="1">IFERROR(__xludf.DUMMYFUNCTION("""COMPUTED_VALUE"""),"gonzalo.m.quiroga@mcpsmd.net")</f>
        <v>gonzalo.m.quiroga@mcpsmd.net</v>
      </c>
    </row>
    <row r="45" spans="1:6" ht="12.75">
      <c r="A45" t="str">
        <f ca="1">IFERROR(__xludf.DUMMYFUNCTION("""COMPUTED_VALUE"""),"Raffo")</f>
        <v>Raffo</v>
      </c>
      <c r="B45" t="str">
        <f ca="1">IFERROR(__xludf.DUMMYFUNCTION("""COMPUTED_VALUE"""),"Giovanna")</f>
        <v>Giovanna</v>
      </c>
      <c r="C45" t="str">
        <f ca="1">IFERROR(__xludf.DUMMYFUNCTION("""COMPUTED_VALUE"""),"Giovanna Raffo")</f>
        <v>Giovanna Raffo</v>
      </c>
      <c r="D45" t="str">
        <f ca="1">IFERROR(__xludf.DUMMYFUNCTION("""COMPUTED_VALUE"""),"parent community coordinator")</f>
        <v>parent community coordinator</v>
      </c>
      <c r="E45" t="str">
        <f ca="1">IFERROR(__xludf.DUMMYFUNCTION("""COMPUTED_VALUE"""),"giovanna_c_raffo@mcpsmd.org")</f>
        <v>giovanna_c_raffo@mcpsmd.org</v>
      </c>
      <c r="F45" t="str">
        <f ca="1">IFERROR(__xludf.DUMMYFUNCTION("""COMPUTED_VALUE"""),"giovanna.c.raffo@mcpsmd.net")</f>
        <v>giovanna.c.raffo@mcpsmd.net</v>
      </c>
    </row>
    <row r="46" spans="1:6" ht="12.75">
      <c r="A46" t="str">
        <f ca="1">IFERROR(__xludf.DUMMYFUNCTION("""COMPUTED_VALUE"""),"Romero")</f>
        <v>Romero</v>
      </c>
      <c r="B46" t="str">
        <f ca="1">IFERROR(__xludf.DUMMYFUNCTION("""COMPUTED_VALUE"""),"Maria")</f>
        <v>Maria</v>
      </c>
      <c r="C46" t="str">
        <f ca="1">IFERROR(__xludf.DUMMYFUNCTION("""COMPUTED_VALUE"""),"Maria Romero")</f>
        <v>Maria Romero</v>
      </c>
      <c r="D46" t="str">
        <f ca="1">IFERROR(__xludf.DUMMYFUNCTION("""COMPUTED_VALUE"""),"parent community coordinator")</f>
        <v>parent community coordinator</v>
      </c>
      <c r="E46" t="str">
        <f ca="1">IFERROR(__xludf.DUMMYFUNCTION("""COMPUTED_VALUE"""),"Maria_G_Romero@mcpsmd.org")</f>
        <v>Maria_G_Romero@mcpsmd.org</v>
      </c>
      <c r="F46" t="str">
        <f ca="1">IFERROR(__xludf.DUMMYFUNCTION("""COMPUTED_VALUE"""),"maria.g.romero@mcpsmd.net")</f>
        <v>maria.g.romero@mcpsmd.net</v>
      </c>
    </row>
    <row r="47" spans="1:6" ht="12.75">
      <c r="A47" t="str">
        <f ca="1">IFERROR(__xludf.DUMMYFUNCTION("""COMPUTED_VALUE"""),"Romero")</f>
        <v>Romero</v>
      </c>
      <c r="B47" t="str">
        <f ca="1">IFERROR(__xludf.DUMMYFUNCTION("""COMPUTED_VALUE"""),"Sylvia")</f>
        <v>Sylvia</v>
      </c>
      <c r="C47" t="str">
        <f ca="1">IFERROR(__xludf.DUMMYFUNCTION("""COMPUTED_VALUE"""),"Sylvia Romero")</f>
        <v>Sylvia Romero</v>
      </c>
      <c r="D47" t="str">
        <f ca="1">IFERROR(__xludf.DUMMYFUNCTION("""COMPUTED_VALUE"""),"parent community coordinator")</f>
        <v>parent community coordinator</v>
      </c>
      <c r="E47" t="str">
        <f ca="1">IFERROR(__xludf.DUMMYFUNCTION("""COMPUTED_VALUE"""),"sylvia_j_romero@mcpsmd.org")</f>
        <v>sylvia_j_romero@mcpsmd.org</v>
      </c>
      <c r="F47" t="str">
        <f ca="1">IFERROR(__xludf.DUMMYFUNCTION("""COMPUTED_VALUE"""),"sylvia.j.romero@mcpsmd.net")</f>
        <v>sylvia.j.romero@mcpsmd.net</v>
      </c>
    </row>
    <row r="48" spans="1:6" ht="12.75">
      <c r="A48" t="str">
        <f ca="1">IFERROR(__xludf.DUMMYFUNCTION("""COMPUTED_VALUE"""),"Roth")</f>
        <v>Roth</v>
      </c>
      <c r="B48" t="str">
        <f ca="1">IFERROR(__xludf.DUMMYFUNCTION("""COMPUTED_VALUE"""),"Andrea")</f>
        <v>Andrea</v>
      </c>
      <c r="C48" t="str">
        <f ca="1">IFERROR(__xludf.DUMMYFUNCTION("""COMPUTED_VALUE"""),"Andrea Roth")</f>
        <v>Andrea Roth</v>
      </c>
      <c r="D48" t="str">
        <f ca="1">IFERROR(__xludf.DUMMYFUNCTION("""COMPUTED_VALUE"""),"communications assistant")</f>
        <v>communications assistant</v>
      </c>
      <c r="E48" t="str">
        <f ca="1">IFERROR(__xludf.DUMMYFUNCTION("""COMPUTED_VALUE"""),"andrea_b_roth@mcpsmd.org")</f>
        <v>andrea_b_roth@mcpsmd.org</v>
      </c>
      <c r="F48" t="str">
        <f ca="1">IFERROR(__xludf.DUMMYFUNCTION("""COMPUTED_VALUE"""),"andrea.b.roth@mcpsmd.net")</f>
        <v>andrea.b.roth@mcpsmd.net</v>
      </c>
    </row>
    <row r="49" spans="1:6" ht="12.75">
      <c r="A49" t="str">
        <f ca="1">IFERROR(__xludf.DUMMYFUNCTION("""COMPUTED_VALUE"""),"Rowry Sadur")</f>
        <v>Rowry Sadur</v>
      </c>
      <c r="B49" t="str">
        <f ca="1">IFERROR(__xludf.DUMMYFUNCTION("""COMPUTED_VALUE"""),"Cindy")</f>
        <v>Cindy</v>
      </c>
      <c r="C49" t="str">
        <f ca="1">IFERROR(__xludf.DUMMYFUNCTION("""COMPUTED_VALUE"""),"Cindy Rowry Sadur")</f>
        <v>Cindy Rowry Sadur</v>
      </c>
      <c r="D49" t="str">
        <f ca="1">IFERROR(__xludf.DUMMYFUNCTION("""COMPUTED_VALUE"""),"parent community coordinator")</f>
        <v>parent community coordinator</v>
      </c>
      <c r="E49" t="str">
        <f ca="1">IFERROR(__xludf.DUMMYFUNCTION("""COMPUTED_VALUE"""),"cynthia_y_sadur@mcpsmd.org")</f>
        <v>cynthia_y_sadur@mcpsmd.org</v>
      </c>
      <c r="F49" t="str">
        <f ca="1">IFERROR(__xludf.DUMMYFUNCTION("""COMPUTED_VALUE"""),"cynthia.y.sadur@mcpsmd.net")</f>
        <v>cynthia.y.sadur@mcpsmd.net</v>
      </c>
    </row>
    <row r="50" spans="1:6" ht="12.75">
      <c r="A50" t="str">
        <f ca="1">IFERROR(__xludf.DUMMYFUNCTION("""COMPUTED_VALUE"""),"Ruiz Miller")</f>
        <v>Ruiz Miller</v>
      </c>
      <c r="B50" t="str">
        <f ca="1">IFERROR(__xludf.DUMMYFUNCTION("""COMPUTED_VALUE"""),"Sally")</f>
        <v>Sally</v>
      </c>
      <c r="C50" t="str">
        <f ca="1">IFERROR(__xludf.DUMMYFUNCTION("""COMPUTED_VALUE"""),"Sally Ruiz Miller")</f>
        <v>Sally Ruiz Miller</v>
      </c>
      <c r="D50" t="str">
        <f ca="1">IFERROR(__xludf.DUMMYFUNCTION("""COMPUTED_VALUE"""),"parent community coordinator")</f>
        <v>parent community coordinator</v>
      </c>
      <c r="E50" t="str">
        <f ca="1">IFERROR(__xludf.DUMMYFUNCTION("""COMPUTED_VALUE"""),"sally_p_ruiz@mcpsmd.org")</f>
        <v>sally_p_ruiz@mcpsmd.org</v>
      </c>
      <c r="F50" t="str">
        <f ca="1">IFERROR(__xludf.DUMMYFUNCTION("""COMPUTED_VALUE"""),"sally.p.ruiz@mcpsmd.net")</f>
        <v>sally.p.ruiz@mcpsmd.net</v>
      </c>
    </row>
    <row r="51" spans="1:6" ht="12.75">
      <c r="A51" t="str">
        <f ca="1">IFERROR(__xludf.DUMMYFUNCTION("""COMPUTED_VALUE"""),"Santos")</f>
        <v>Santos</v>
      </c>
      <c r="B51" t="str">
        <f ca="1">IFERROR(__xludf.DUMMYFUNCTION("""COMPUTED_VALUE"""),"Patri")</f>
        <v>Patri</v>
      </c>
      <c r="C51" t="str">
        <f ca="1">IFERROR(__xludf.DUMMYFUNCTION("""COMPUTED_VALUE"""),"Patri Santos")</f>
        <v>Patri Santos</v>
      </c>
      <c r="D51" t="str">
        <f ca="1">IFERROR(__xludf.DUMMYFUNCTION("""COMPUTED_VALUE"""),"parent community coordinator")</f>
        <v>parent community coordinator</v>
      </c>
      <c r="E51" t="str">
        <f ca="1">IFERROR(__xludf.DUMMYFUNCTION("""COMPUTED_VALUE"""),"patricia_ubiera@mcpsmd.org")</f>
        <v>patricia_ubiera@mcpsmd.org</v>
      </c>
      <c r="F51" t="str">
        <f ca="1">IFERROR(__xludf.DUMMYFUNCTION("""COMPUTED_VALUE"""),"patricia.ubiera@mcpsmd.net")</f>
        <v>patricia.ubiera@mcpsmd.net</v>
      </c>
    </row>
    <row r="52" spans="1:6" ht="12.75">
      <c r="A52" t="str">
        <f ca="1">IFERROR(__xludf.DUMMYFUNCTION("""COMPUTED_VALUE"""),"Shen")</f>
        <v>Shen</v>
      </c>
      <c r="B52" t="str">
        <f ca="1">IFERROR(__xludf.DUMMYFUNCTION("""COMPUTED_VALUE"""),"Lily")</f>
        <v>Lily</v>
      </c>
      <c r="C52" t="str">
        <f ca="1">IFERROR(__xludf.DUMMYFUNCTION("""COMPUTED_VALUE"""),"Lily Shen")</f>
        <v>Lily Shen</v>
      </c>
      <c r="D52" t="str">
        <f ca="1">IFERROR(__xludf.DUMMYFUNCTION("""COMPUTED_VALUE"""),"parent community coordinator")</f>
        <v>parent community coordinator</v>
      </c>
      <c r="E52" t="str">
        <f ca="1">IFERROR(__xludf.DUMMYFUNCTION("""COMPUTED_VALUE"""),"lily_l_shen@mcpsmd.org")</f>
        <v>lily_l_shen@mcpsmd.org</v>
      </c>
      <c r="F52" t="str">
        <f ca="1">IFERROR(__xludf.DUMMYFUNCTION("""COMPUTED_VALUE"""),"lily.l.shen@mcpsmd.net")</f>
        <v>lily.l.shen@mcpsmd.net</v>
      </c>
    </row>
    <row r="53" spans="1:6" ht="12.75">
      <c r="A53" t="str">
        <f ca="1">IFERROR(__xludf.DUMMYFUNCTION("""COMPUTED_VALUE"""),"Smith")</f>
        <v>Smith</v>
      </c>
      <c r="B53" t="str">
        <f ca="1">IFERROR(__xludf.DUMMYFUNCTION("""COMPUTED_VALUE"""),"Jeremy")</f>
        <v>Jeremy</v>
      </c>
      <c r="C53" t="str">
        <f ca="1">IFERROR(__xludf.DUMMYFUNCTION("""COMPUTED_VALUE"""),"Jeremy Smith")</f>
        <v>Jeremy Smith</v>
      </c>
      <c r="D53" t="str">
        <f ca="1">IFERROR(__xludf.DUMMYFUNCTION("""COMPUTED_VALUE"""),"parent community coordinator")</f>
        <v>parent community coordinator</v>
      </c>
      <c r="E53" t="str">
        <f ca="1">IFERROR(__xludf.DUMMYFUNCTION("""COMPUTED_VALUE"""),"jeremy_r_smith@mcpsmd.org")</f>
        <v>jeremy_r_smith@mcpsmd.org</v>
      </c>
      <c r="F53" t="str">
        <f ca="1">IFERROR(__xludf.DUMMYFUNCTION("""COMPUTED_VALUE"""),"jeremy.r.smith@mcpsmd.net")</f>
        <v>jeremy.r.smith@mcpsmd.net</v>
      </c>
    </row>
    <row r="54" spans="1:6" ht="12.75">
      <c r="A54" t="str">
        <f ca="1">IFERROR(__xludf.DUMMYFUNCTION("""COMPUTED_VALUE"""),"Sobalvarro-Ochoa")</f>
        <v>Sobalvarro-Ochoa</v>
      </c>
      <c r="B54" t="str">
        <f ca="1">IFERROR(__xludf.DUMMYFUNCTION("""COMPUTED_VALUE"""),"Magda")</f>
        <v>Magda</v>
      </c>
      <c r="C54" t="str">
        <f ca="1">IFERROR(__xludf.DUMMYFUNCTION("""COMPUTED_VALUE"""),"Magda Sobalvarro-Ochoa")</f>
        <v>Magda Sobalvarro-Ochoa</v>
      </c>
      <c r="D54" t="str">
        <f ca="1">IFERROR(__xludf.DUMMYFUNCTION("""COMPUTED_VALUE"""),"parent community coordinator")</f>
        <v>parent community coordinator</v>
      </c>
      <c r="E54" t="str">
        <f ca="1">IFERROR(__xludf.DUMMYFUNCTION("""COMPUTED_VALUE"""),"magda_m_sobalvarro@mcpsmd.org")</f>
        <v>magda_m_sobalvarro@mcpsmd.org</v>
      </c>
      <c r="F54" t="str">
        <f ca="1">IFERROR(__xludf.DUMMYFUNCTION("""COMPUTED_VALUE"""),"magda.m.sobalvarro@mcpsmd.net")</f>
        <v>magda.m.sobalvarro@mcpsmd.net</v>
      </c>
    </row>
    <row r="55" spans="1:6" ht="12.75">
      <c r="A55" t="str">
        <f ca="1">IFERROR(__xludf.DUMMYFUNCTION("""COMPUTED_VALUE"""),"Tsai")</f>
        <v>Tsai</v>
      </c>
      <c r="B55" t="str">
        <f ca="1">IFERROR(__xludf.DUMMYFUNCTION("""COMPUTED_VALUE"""),"Annie")</f>
        <v>Annie</v>
      </c>
      <c r="C55" t="str">
        <f ca="1">IFERROR(__xludf.DUMMYFUNCTION("""COMPUTED_VALUE"""),"Annie Tsai")</f>
        <v>Annie Tsai</v>
      </c>
      <c r="D55" t="str">
        <f ca="1">IFERROR(__xludf.DUMMYFUNCTION("""COMPUTED_VALUE"""),"parent community coordinator")</f>
        <v>parent community coordinator</v>
      </c>
      <c r="E55" t="str">
        <f ca="1">IFERROR(__xludf.DUMMYFUNCTION("""COMPUTED_VALUE"""),"fuijin_a_tsai@mcpsmd.org")</f>
        <v>fuijin_a_tsai@mcpsmd.org</v>
      </c>
      <c r="F55" t="str">
        <f ca="1">IFERROR(__xludf.DUMMYFUNCTION("""COMPUTED_VALUE"""),"fuijin.a.tsai@mcpsmd.net")</f>
        <v>fuijin.a.tsai@mcpsmd.net</v>
      </c>
    </row>
    <row r="56" spans="1:6" ht="12.75">
      <c r="A56" t="str">
        <f ca="1">IFERROR(__xludf.DUMMYFUNCTION("""COMPUTED_VALUE"""),"Williams")</f>
        <v>Williams</v>
      </c>
      <c r="B56" t="str">
        <f ca="1">IFERROR(__xludf.DUMMYFUNCTION("""COMPUTED_VALUE"""),"Paty")</f>
        <v>Paty</v>
      </c>
      <c r="C56" t="str">
        <f ca="1">IFERROR(__xludf.DUMMYFUNCTION("""COMPUTED_VALUE"""),"Paty Williams")</f>
        <v>Paty Williams</v>
      </c>
      <c r="D56" t="str">
        <f ca="1">IFERROR(__xludf.DUMMYFUNCTION("""COMPUTED_VALUE"""),"parent community coordinator")</f>
        <v>parent community coordinator</v>
      </c>
      <c r="E56" t="str">
        <f ca="1">IFERROR(__xludf.DUMMYFUNCTION("""COMPUTED_VALUE"""),"martha_p_williams@mcpsmd.org")</f>
        <v>martha_p_williams@mcpsmd.org</v>
      </c>
      <c r="F56" t="str">
        <f ca="1">IFERROR(__xludf.DUMMYFUNCTION("""COMPUTED_VALUE"""),"martha.p.williams@mcpsmd.net")</f>
        <v>martha.p.williams@mcpsmd.net</v>
      </c>
    </row>
    <row r="57" spans="1:6" ht="12.75">
      <c r="A57" t="str">
        <f ca="1">IFERROR(__xludf.DUMMYFUNCTION("""COMPUTED_VALUE"""),"Wilson-Saddler")</f>
        <v>Wilson-Saddler</v>
      </c>
      <c r="B57" t="str">
        <f ca="1">IFERROR(__xludf.DUMMYFUNCTION("""COMPUTED_VALUE"""),"Danielle")</f>
        <v>Danielle</v>
      </c>
      <c r="C57" t="str">
        <f ca="1">IFERROR(__xludf.DUMMYFUNCTION("""COMPUTED_VALUE"""),"Danielle Wilson-Saddler")</f>
        <v>Danielle Wilson-Saddler</v>
      </c>
      <c r="D57" t="str">
        <f ca="1">IFERROR(__xludf.DUMMYFUNCTION("""COMPUTED_VALUE"""),"instructional specialist")</f>
        <v>instructional specialist</v>
      </c>
      <c r="E57" t="str">
        <f ca="1">IFERROR(__xludf.DUMMYFUNCTION("""COMPUTED_VALUE"""),"danielle_d_wilson-saddler@mcpsmd.org")</f>
        <v>danielle_d_wilson-saddler@mcpsmd.org</v>
      </c>
      <c r="F57" t="str">
        <f ca="1">IFERROR(__xludf.DUMMYFUNCTION("""COMPUTED_VALUE"""),"danielle.d.wilson-saddler@mcpsmd.net")</f>
        <v>danielle.d.wilson-saddler@mcpsmd.net</v>
      </c>
    </row>
    <row r="58" spans="1:6" ht="12.75">
      <c r="A58" t="str">
        <f ca="1">IFERROR(__xludf.DUMMYFUNCTION("""COMPUTED_VALUE"""),"Woods")</f>
        <v>Woods</v>
      </c>
      <c r="B58" t="str">
        <f ca="1">IFERROR(__xludf.DUMMYFUNCTION("""COMPUTED_VALUE"""),"Sandra")</f>
        <v>Sandra</v>
      </c>
      <c r="C58" t="str">
        <f ca="1">IFERROR(__xludf.DUMMYFUNCTION("""COMPUTED_VALUE"""),"Sandra Woods")</f>
        <v>Sandra Woods</v>
      </c>
      <c r="D58" t="str">
        <f ca="1">IFERROR(__xludf.DUMMYFUNCTION("""COMPUTED_VALUE"""),"parent community coordinator")</f>
        <v>parent community coordinator</v>
      </c>
      <c r="E58" t="str">
        <f ca="1">IFERROR(__xludf.DUMMYFUNCTION("""COMPUTED_VALUE"""),"sandra_woods@mcpsmd.org")</f>
        <v>sandra_woods@mcpsmd.org</v>
      </c>
      <c r="F58" t="str">
        <f ca="1">IFERROR(__xludf.DUMMYFUNCTION("""COMPUTED_VALUE"""),"sandra.woods@mcpsmd.net")</f>
        <v>sandra.woods@mcpsmd.net</v>
      </c>
    </row>
    <row r="59" spans="1:6" ht="12.75">
      <c r="A59" t="str">
        <f ca="1">IFERROR(__xludf.DUMMYFUNCTION("""COMPUTED_VALUE"""),"Zuniga-Sanchez")</f>
        <v>Zuniga-Sanchez</v>
      </c>
      <c r="B59" t="str">
        <f ca="1">IFERROR(__xludf.DUMMYFUNCTION("""COMPUTED_VALUE"""),"Evelyn")</f>
        <v>Evelyn</v>
      </c>
      <c r="C59" t="str">
        <f ca="1">IFERROR(__xludf.DUMMYFUNCTION("""COMPUTED_VALUE"""),"Evelyn Zuniga-Sanchez")</f>
        <v>Evelyn Zuniga-Sanchez</v>
      </c>
      <c r="D59" t="str">
        <f ca="1">IFERROR(__xludf.DUMMYFUNCTION("""COMPUTED_VALUE"""),"parent community coordinator")</f>
        <v>parent community coordinator</v>
      </c>
      <c r="E59" t="str">
        <f ca="1">IFERROR(__xludf.DUMMYFUNCTION("""COMPUTED_VALUE"""),"evelyn_zuniga-sanchez@mcpsmd.org")</f>
        <v>evelyn_zuniga-sanchez@mcpsmd.org</v>
      </c>
      <c r="F59" t="str">
        <f ca="1">IFERROR(__xludf.DUMMYFUNCTION("""COMPUTED_VALUE"""),"evelyn.zuniga-sanchez@mcpsmd.net")</f>
        <v>evelyn.zuniga-sanchez@mcpsmd.net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229"/>
  <sheetViews>
    <sheetView workbookViewId="0"/>
  </sheetViews>
  <sheetFormatPr defaultColWidth="12.5703125" defaultRowHeight="15.75" customHeight="1"/>
  <sheetData>
    <row r="1" spans="1:12" ht="15.75" customHeight="1">
      <c r="A1" s="33" t="s">
        <v>762</v>
      </c>
      <c r="B1" s="33" t="s">
        <v>763</v>
      </c>
      <c r="C1" s="33" t="s">
        <v>764</v>
      </c>
      <c r="D1" s="33" t="s">
        <v>2</v>
      </c>
      <c r="E1" s="33" t="s">
        <v>765</v>
      </c>
      <c r="F1" s="33" t="s">
        <v>766</v>
      </c>
      <c r="G1" s="33" t="s">
        <v>767</v>
      </c>
      <c r="H1" s="33" t="s">
        <v>768</v>
      </c>
      <c r="I1" s="33" t="s">
        <v>769</v>
      </c>
      <c r="J1" s="33" t="s">
        <v>770</v>
      </c>
      <c r="K1" s="33" t="s">
        <v>771</v>
      </c>
      <c r="L1" s="33" t="s">
        <v>772</v>
      </c>
    </row>
    <row r="2" spans="1:12" ht="15.75" customHeight="1">
      <c r="A2" s="33" t="s">
        <v>773</v>
      </c>
      <c r="B2" s="33" t="s">
        <v>774</v>
      </c>
      <c r="C2" s="33" t="s">
        <v>775</v>
      </c>
      <c r="D2" s="33">
        <v>787</v>
      </c>
      <c r="E2" s="33">
        <v>3787</v>
      </c>
      <c r="F2" s="33" t="s">
        <v>776</v>
      </c>
      <c r="G2" s="33" t="s">
        <v>777</v>
      </c>
      <c r="H2" s="33" t="s">
        <v>778</v>
      </c>
      <c r="I2" s="33" t="s">
        <v>779</v>
      </c>
      <c r="J2" s="33" t="s">
        <v>780</v>
      </c>
      <c r="K2" s="33" t="s">
        <v>781</v>
      </c>
      <c r="L2" s="33" t="s">
        <v>782</v>
      </c>
    </row>
    <row r="3" spans="1:12" ht="15.75" customHeight="1">
      <c r="A3" s="33" t="s">
        <v>783</v>
      </c>
      <c r="B3" s="33" t="s">
        <v>784</v>
      </c>
      <c r="C3" s="33" t="s">
        <v>785</v>
      </c>
      <c r="D3" s="33">
        <v>789</v>
      </c>
      <c r="E3" s="33">
        <v>4789</v>
      </c>
      <c r="F3" s="33" t="s">
        <v>786</v>
      </c>
      <c r="G3" s="33" t="s">
        <v>787</v>
      </c>
      <c r="H3" s="33" t="s">
        <v>788</v>
      </c>
      <c r="I3" s="33" t="s">
        <v>789</v>
      </c>
      <c r="J3" s="33" t="s">
        <v>790</v>
      </c>
      <c r="K3" s="33" t="s">
        <v>791</v>
      </c>
      <c r="L3" s="33" t="s">
        <v>792</v>
      </c>
    </row>
    <row r="4" spans="1:12" ht="15.75" customHeight="1">
      <c r="A4" s="33" t="s">
        <v>793</v>
      </c>
      <c r="B4" s="33" t="s">
        <v>794</v>
      </c>
      <c r="C4" s="33" t="s">
        <v>795</v>
      </c>
      <c r="D4" s="33">
        <v>239</v>
      </c>
      <c r="E4" s="33">
        <v>1239</v>
      </c>
      <c r="F4" s="33" t="s">
        <v>796</v>
      </c>
      <c r="G4" s="33" t="s">
        <v>797</v>
      </c>
      <c r="H4" s="33" t="s">
        <v>798</v>
      </c>
      <c r="I4" s="33" t="s">
        <v>799</v>
      </c>
      <c r="J4" s="33" t="s">
        <v>800</v>
      </c>
      <c r="K4" s="33" t="s">
        <v>801</v>
      </c>
      <c r="L4" s="33" t="s">
        <v>802</v>
      </c>
    </row>
    <row r="5" spans="1:12" ht="15.75" customHeight="1">
      <c r="A5" s="33" t="s">
        <v>803</v>
      </c>
      <c r="B5" s="33" t="s">
        <v>804</v>
      </c>
      <c r="C5" s="33" t="s">
        <v>805</v>
      </c>
      <c r="D5" s="33">
        <v>790</v>
      </c>
      <c r="E5" s="33">
        <v>2790</v>
      </c>
      <c r="F5" s="33" t="s">
        <v>806</v>
      </c>
      <c r="G5" s="33" t="s">
        <v>807</v>
      </c>
      <c r="H5" s="33" t="s">
        <v>808</v>
      </c>
      <c r="I5" s="33" t="s">
        <v>809</v>
      </c>
      <c r="J5" s="33" t="s">
        <v>810</v>
      </c>
      <c r="K5" s="33" t="s">
        <v>811</v>
      </c>
      <c r="L5" s="33" t="s">
        <v>812</v>
      </c>
    </row>
    <row r="6" spans="1:12" ht="15.75" customHeight="1">
      <c r="A6" s="33" t="s">
        <v>813</v>
      </c>
      <c r="B6" s="33" t="s">
        <v>814</v>
      </c>
      <c r="C6" s="33" t="s">
        <v>815</v>
      </c>
      <c r="D6" s="33">
        <v>823</v>
      </c>
      <c r="E6" s="33">
        <v>3823</v>
      </c>
      <c r="F6" s="33" t="s">
        <v>816</v>
      </c>
      <c r="G6" s="33" t="s">
        <v>817</v>
      </c>
      <c r="H6" s="33" t="s">
        <v>818</v>
      </c>
      <c r="I6" s="33" t="s">
        <v>819</v>
      </c>
      <c r="J6" s="33" t="s">
        <v>780</v>
      </c>
      <c r="K6" s="33" t="s">
        <v>820</v>
      </c>
      <c r="L6" s="33" t="s">
        <v>821</v>
      </c>
    </row>
    <row r="7" spans="1:12" ht="15.75" customHeight="1">
      <c r="A7" s="33" t="s">
        <v>822</v>
      </c>
      <c r="B7" s="33" t="s">
        <v>823</v>
      </c>
      <c r="C7" s="33" t="s">
        <v>824</v>
      </c>
      <c r="D7" s="33">
        <v>425</v>
      </c>
      <c r="E7" s="33">
        <v>2425</v>
      </c>
      <c r="F7" s="33" t="s">
        <v>825</v>
      </c>
      <c r="G7" s="33" t="s">
        <v>826</v>
      </c>
      <c r="H7" s="33" t="s">
        <v>827</v>
      </c>
      <c r="I7" s="33" t="s">
        <v>828</v>
      </c>
      <c r="J7" s="33" t="s">
        <v>810</v>
      </c>
      <c r="L7" s="33" t="s">
        <v>829</v>
      </c>
    </row>
    <row r="8" spans="1:12" ht="15.75" customHeight="1">
      <c r="A8" s="33" t="s">
        <v>830</v>
      </c>
      <c r="B8" s="33" t="s">
        <v>831</v>
      </c>
      <c r="C8" s="33" t="s">
        <v>832</v>
      </c>
      <c r="D8" s="33">
        <v>420</v>
      </c>
      <c r="E8" s="33">
        <v>2420</v>
      </c>
      <c r="F8" s="33" t="s">
        <v>833</v>
      </c>
      <c r="G8" s="33" t="s">
        <v>834</v>
      </c>
      <c r="H8" s="33" t="s">
        <v>835</v>
      </c>
      <c r="I8" s="33" t="s">
        <v>836</v>
      </c>
      <c r="J8" s="33" t="s">
        <v>810</v>
      </c>
      <c r="K8" s="33" t="s">
        <v>837</v>
      </c>
      <c r="L8" s="33" t="s">
        <v>838</v>
      </c>
    </row>
    <row r="9" spans="1:12" ht="15.75" customHeight="1">
      <c r="A9" s="33" t="s">
        <v>839</v>
      </c>
      <c r="B9" s="33" t="s">
        <v>840</v>
      </c>
      <c r="C9" s="33" t="s">
        <v>841</v>
      </c>
      <c r="D9" s="33">
        <v>346</v>
      </c>
      <c r="E9" s="33">
        <v>2346</v>
      </c>
      <c r="F9" s="33" t="s">
        <v>842</v>
      </c>
      <c r="G9" s="33" t="s">
        <v>843</v>
      </c>
      <c r="H9" s="33" t="s">
        <v>844</v>
      </c>
      <c r="I9" s="33" t="s">
        <v>845</v>
      </c>
      <c r="J9" s="33" t="s">
        <v>810</v>
      </c>
      <c r="K9" s="33" t="s">
        <v>846</v>
      </c>
      <c r="L9" s="33" t="s">
        <v>847</v>
      </c>
    </row>
    <row r="10" spans="1:12" ht="15.75" customHeight="1">
      <c r="A10" s="33" t="s">
        <v>848</v>
      </c>
      <c r="B10" s="33" t="s">
        <v>849</v>
      </c>
      <c r="C10" s="33" t="s">
        <v>850</v>
      </c>
      <c r="D10" s="33">
        <v>207</v>
      </c>
      <c r="E10" s="33">
        <v>2207</v>
      </c>
      <c r="F10" s="33" t="s">
        <v>851</v>
      </c>
      <c r="G10" s="33" t="s">
        <v>852</v>
      </c>
      <c r="H10" s="33" t="s">
        <v>853</v>
      </c>
      <c r="I10" s="33" t="s">
        <v>854</v>
      </c>
      <c r="J10" s="33" t="s">
        <v>810</v>
      </c>
      <c r="K10" s="33" t="s">
        <v>855</v>
      </c>
      <c r="L10" s="33" t="s">
        <v>856</v>
      </c>
    </row>
    <row r="11" spans="1:12" ht="15.75" customHeight="1">
      <c r="A11" s="33" t="s">
        <v>857</v>
      </c>
      <c r="B11" s="33" t="s">
        <v>858</v>
      </c>
      <c r="C11" s="33" t="s">
        <v>859</v>
      </c>
      <c r="D11" s="33">
        <v>780</v>
      </c>
      <c r="E11" s="33">
        <v>2780</v>
      </c>
      <c r="F11" s="33" t="s">
        <v>860</v>
      </c>
      <c r="G11" s="33" t="s">
        <v>861</v>
      </c>
      <c r="H11" s="33" t="s">
        <v>862</v>
      </c>
      <c r="I11" s="33" t="s">
        <v>863</v>
      </c>
      <c r="J11" s="33" t="s">
        <v>810</v>
      </c>
      <c r="K11" s="33" t="s">
        <v>864</v>
      </c>
      <c r="L11" s="33" t="s">
        <v>865</v>
      </c>
    </row>
    <row r="12" spans="1:12" ht="15.75" customHeight="1">
      <c r="A12" s="33" t="s">
        <v>866</v>
      </c>
      <c r="B12" s="33" t="s">
        <v>867</v>
      </c>
      <c r="C12" s="33" t="s">
        <v>868</v>
      </c>
      <c r="D12" s="33">
        <v>607</v>
      </c>
      <c r="E12" s="33">
        <v>2607</v>
      </c>
      <c r="F12" s="33" t="s">
        <v>869</v>
      </c>
      <c r="G12" s="33" t="s">
        <v>870</v>
      </c>
      <c r="H12" s="33" t="s">
        <v>871</v>
      </c>
      <c r="I12" s="33" t="s">
        <v>872</v>
      </c>
      <c r="J12" s="33" t="s">
        <v>810</v>
      </c>
      <c r="L12" s="33" t="s">
        <v>873</v>
      </c>
    </row>
    <row r="13" spans="1:12" ht="15.75" customHeight="1">
      <c r="A13" s="33" t="s">
        <v>874</v>
      </c>
      <c r="B13" s="33" t="s">
        <v>875</v>
      </c>
      <c r="C13" s="33" t="s">
        <v>876</v>
      </c>
      <c r="D13" s="33">
        <v>513</v>
      </c>
      <c r="E13" s="33">
        <v>2513</v>
      </c>
      <c r="F13" s="33" t="s">
        <v>877</v>
      </c>
      <c r="G13" s="33" t="s">
        <v>878</v>
      </c>
      <c r="H13" s="33" t="s">
        <v>879</v>
      </c>
      <c r="I13" s="33" t="s">
        <v>880</v>
      </c>
      <c r="J13" s="33" t="s">
        <v>810</v>
      </c>
      <c r="K13" s="33" t="s">
        <v>881</v>
      </c>
      <c r="L13" s="33" t="s">
        <v>882</v>
      </c>
    </row>
    <row r="14" spans="1:12" ht="15.75" customHeight="1">
      <c r="A14" s="33" t="s">
        <v>883</v>
      </c>
      <c r="B14" s="33" t="s">
        <v>884</v>
      </c>
      <c r="C14" s="33" t="s">
        <v>885</v>
      </c>
      <c r="D14" s="33">
        <v>333</v>
      </c>
      <c r="E14" s="33">
        <v>3333</v>
      </c>
      <c r="F14" s="33" t="s">
        <v>886</v>
      </c>
      <c r="G14" s="33" t="s">
        <v>887</v>
      </c>
      <c r="H14" s="33" t="s">
        <v>888</v>
      </c>
      <c r="I14" s="33" t="s">
        <v>889</v>
      </c>
      <c r="J14" s="33" t="s">
        <v>780</v>
      </c>
      <c r="K14" s="33" t="s">
        <v>890</v>
      </c>
      <c r="L14" s="33" t="s">
        <v>891</v>
      </c>
    </row>
    <row r="15" spans="1:12" ht="15.75" customHeight="1">
      <c r="A15" s="33" t="s">
        <v>892</v>
      </c>
      <c r="B15" s="33" t="s">
        <v>893</v>
      </c>
      <c r="C15" s="33" t="s">
        <v>894</v>
      </c>
      <c r="D15" s="33">
        <v>401</v>
      </c>
      <c r="E15" s="33">
        <v>2401</v>
      </c>
      <c r="F15" s="33" t="s">
        <v>895</v>
      </c>
      <c r="G15" s="33" t="s">
        <v>896</v>
      </c>
      <c r="H15" s="33" t="s">
        <v>897</v>
      </c>
      <c r="I15" s="33" t="s">
        <v>898</v>
      </c>
      <c r="J15" s="33" t="s">
        <v>810</v>
      </c>
      <c r="K15" s="33" t="s">
        <v>899</v>
      </c>
      <c r="L15" s="33" t="s">
        <v>900</v>
      </c>
    </row>
    <row r="16" spans="1:12" ht="15.75" customHeight="1">
      <c r="A16" s="33" t="s">
        <v>901</v>
      </c>
      <c r="B16" s="33" t="s">
        <v>902</v>
      </c>
      <c r="C16" s="33" t="s">
        <v>903</v>
      </c>
      <c r="D16" s="33">
        <v>406</v>
      </c>
      <c r="E16" s="33">
        <v>4406</v>
      </c>
      <c r="F16" s="33" t="s">
        <v>904</v>
      </c>
      <c r="G16" s="33" t="s">
        <v>905</v>
      </c>
      <c r="H16" s="33" t="s">
        <v>906</v>
      </c>
      <c r="I16" s="33" t="s">
        <v>907</v>
      </c>
      <c r="J16" s="33" t="s">
        <v>790</v>
      </c>
      <c r="K16" s="33" t="s">
        <v>908</v>
      </c>
      <c r="L16" s="33" t="s">
        <v>909</v>
      </c>
    </row>
    <row r="17" spans="1:12" ht="15.75" customHeight="1">
      <c r="A17" s="33" t="s">
        <v>910</v>
      </c>
      <c r="B17" s="33" t="s">
        <v>911</v>
      </c>
      <c r="C17" s="33" t="s">
        <v>912</v>
      </c>
      <c r="D17" s="33">
        <v>226</v>
      </c>
      <c r="E17" s="33">
        <v>2226</v>
      </c>
      <c r="F17" s="33" t="s">
        <v>913</v>
      </c>
      <c r="G17" s="33" t="s">
        <v>914</v>
      </c>
      <c r="H17" s="33" t="s">
        <v>915</v>
      </c>
      <c r="I17" s="33" t="s">
        <v>916</v>
      </c>
      <c r="J17" s="33" t="s">
        <v>810</v>
      </c>
      <c r="K17" s="33" t="s">
        <v>917</v>
      </c>
      <c r="L17" s="33" t="s">
        <v>918</v>
      </c>
    </row>
    <row r="18" spans="1:12" ht="15.75" customHeight="1">
      <c r="A18" s="33" t="s">
        <v>919</v>
      </c>
      <c r="B18" s="33" t="s">
        <v>920</v>
      </c>
      <c r="C18" s="33" t="s">
        <v>921</v>
      </c>
      <c r="D18" s="33">
        <v>410</v>
      </c>
      <c r="E18" s="33">
        <v>2410</v>
      </c>
      <c r="F18" s="33" t="s">
        <v>922</v>
      </c>
      <c r="G18" s="33" t="s">
        <v>923</v>
      </c>
      <c r="H18" s="33" t="s">
        <v>924</v>
      </c>
      <c r="I18" s="33" t="s">
        <v>925</v>
      </c>
      <c r="J18" s="33" t="s">
        <v>810</v>
      </c>
      <c r="K18" s="33" t="s">
        <v>926</v>
      </c>
      <c r="L18" s="33" t="s">
        <v>927</v>
      </c>
    </row>
    <row r="19" spans="1:12" ht="15.75" customHeight="1">
      <c r="A19" s="33" t="s">
        <v>928</v>
      </c>
      <c r="B19" s="33" t="s">
        <v>929</v>
      </c>
      <c r="C19" s="33" t="s">
        <v>930</v>
      </c>
      <c r="D19" s="33">
        <v>335</v>
      </c>
      <c r="E19" s="33">
        <v>3335</v>
      </c>
      <c r="F19" s="33" t="s">
        <v>931</v>
      </c>
      <c r="G19" s="33" t="s">
        <v>932</v>
      </c>
      <c r="H19" s="33" t="s">
        <v>933</v>
      </c>
      <c r="I19" s="33" t="s">
        <v>934</v>
      </c>
      <c r="J19" s="33" t="s">
        <v>780</v>
      </c>
      <c r="K19" s="33" t="s">
        <v>935</v>
      </c>
      <c r="L19" s="33" t="s">
        <v>936</v>
      </c>
    </row>
    <row r="20" spans="1:12" ht="12.75">
      <c r="A20" s="33" t="s">
        <v>937</v>
      </c>
      <c r="B20" s="33" t="s">
        <v>938</v>
      </c>
      <c r="C20" s="33" t="s">
        <v>939</v>
      </c>
      <c r="D20" s="33">
        <v>518</v>
      </c>
      <c r="E20" s="33">
        <v>2518</v>
      </c>
      <c r="F20" s="33" t="s">
        <v>940</v>
      </c>
      <c r="G20" s="33" t="s">
        <v>941</v>
      </c>
      <c r="H20" s="33" t="s">
        <v>942</v>
      </c>
      <c r="I20" s="33" t="s">
        <v>943</v>
      </c>
      <c r="J20" s="33" t="s">
        <v>810</v>
      </c>
      <c r="K20" s="33" t="s">
        <v>944</v>
      </c>
      <c r="L20" s="33" t="s">
        <v>945</v>
      </c>
    </row>
    <row r="21" spans="1:12" ht="12.75">
      <c r="A21" s="33" t="s">
        <v>946</v>
      </c>
      <c r="B21" s="33" t="s">
        <v>947</v>
      </c>
      <c r="C21" s="33" t="s">
        <v>948</v>
      </c>
      <c r="D21" s="33">
        <v>807</v>
      </c>
      <c r="E21" s="33">
        <v>2807</v>
      </c>
      <c r="F21" s="33" t="s">
        <v>949</v>
      </c>
      <c r="G21" s="33" t="s">
        <v>950</v>
      </c>
      <c r="H21" s="33" t="s">
        <v>951</v>
      </c>
      <c r="I21" s="33" t="s">
        <v>952</v>
      </c>
      <c r="J21" s="33" t="s">
        <v>810</v>
      </c>
      <c r="K21" s="33" t="s">
        <v>953</v>
      </c>
      <c r="L21" s="33" t="s">
        <v>954</v>
      </c>
    </row>
    <row r="22" spans="1:12" ht="12.75">
      <c r="A22" s="33" t="s">
        <v>955</v>
      </c>
      <c r="B22" s="33" t="s">
        <v>956</v>
      </c>
      <c r="C22" s="33" t="s">
        <v>957</v>
      </c>
      <c r="D22" s="33">
        <v>559</v>
      </c>
      <c r="E22" s="33">
        <v>2559</v>
      </c>
      <c r="F22" s="33" t="s">
        <v>958</v>
      </c>
      <c r="G22" s="33" t="s">
        <v>959</v>
      </c>
      <c r="H22" s="33" t="s">
        <v>960</v>
      </c>
      <c r="I22" s="33" t="s">
        <v>961</v>
      </c>
      <c r="J22" s="33" t="s">
        <v>810</v>
      </c>
      <c r="K22" s="33" t="s">
        <v>962</v>
      </c>
      <c r="L22" s="33" t="s">
        <v>963</v>
      </c>
    </row>
    <row r="23" spans="1:12" ht="12.75">
      <c r="A23" s="33" t="s">
        <v>964</v>
      </c>
      <c r="B23" s="33" t="s">
        <v>965</v>
      </c>
      <c r="C23" s="33" t="s">
        <v>966</v>
      </c>
      <c r="D23" s="33">
        <v>419</v>
      </c>
      <c r="E23" s="33">
        <v>2419</v>
      </c>
      <c r="F23" s="33" t="s">
        <v>967</v>
      </c>
      <c r="G23" s="33" t="s">
        <v>968</v>
      </c>
      <c r="H23" s="33" t="s">
        <v>969</v>
      </c>
      <c r="I23" s="33" t="s">
        <v>970</v>
      </c>
      <c r="J23" s="33" t="s">
        <v>810</v>
      </c>
      <c r="K23" s="33" t="s">
        <v>971</v>
      </c>
      <c r="L23" s="33" t="s">
        <v>972</v>
      </c>
    </row>
    <row r="24" spans="1:12" ht="12.75">
      <c r="A24" s="33" t="s">
        <v>973</v>
      </c>
      <c r="B24" s="33" t="s">
        <v>974</v>
      </c>
      <c r="C24" s="33" t="s">
        <v>975</v>
      </c>
      <c r="D24" s="33">
        <v>309</v>
      </c>
      <c r="E24" s="33">
        <v>2309</v>
      </c>
      <c r="F24" s="33" t="s">
        <v>976</v>
      </c>
      <c r="G24" s="33" t="s">
        <v>977</v>
      </c>
      <c r="H24" s="33" t="s">
        <v>978</v>
      </c>
      <c r="I24" s="33" t="s">
        <v>979</v>
      </c>
      <c r="J24" s="33" t="s">
        <v>810</v>
      </c>
      <c r="K24" s="33" t="s">
        <v>980</v>
      </c>
      <c r="L24" s="33" t="s">
        <v>981</v>
      </c>
    </row>
    <row r="25" spans="1:12" ht="12.75">
      <c r="A25" s="33" t="s">
        <v>982</v>
      </c>
      <c r="B25" s="33" t="s">
        <v>983</v>
      </c>
      <c r="C25" s="33" t="s">
        <v>984</v>
      </c>
      <c r="D25" s="33">
        <v>302</v>
      </c>
      <c r="E25" s="33">
        <v>2302</v>
      </c>
      <c r="F25" s="33" t="s">
        <v>985</v>
      </c>
      <c r="G25" s="33" t="s">
        <v>986</v>
      </c>
      <c r="H25" s="33" t="s">
        <v>987</v>
      </c>
      <c r="I25" s="33" t="s">
        <v>988</v>
      </c>
      <c r="J25" s="33" t="s">
        <v>810</v>
      </c>
      <c r="K25" s="33" t="s">
        <v>989</v>
      </c>
      <c r="L25" s="33" t="s">
        <v>990</v>
      </c>
    </row>
    <row r="26" spans="1:12" ht="12.75">
      <c r="A26" s="33" t="s">
        <v>991</v>
      </c>
      <c r="B26" s="33" t="s">
        <v>992</v>
      </c>
      <c r="C26" s="33" t="s">
        <v>993</v>
      </c>
      <c r="D26" s="33">
        <v>606</v>
      </c>
      <c r="E26" s="33">
        <v>3606</v>
      </c>
      <c r="F26" s="33" t="s">
        <v>994</v>
      </c>
      <c r="G26" s="33" t="s">
        <v>995</v>
      </c>
      <c r="H26" s="33" t="s">
        <v>996</v>
      </c>
      <c r="I26" s="33" t="s">
        <v>997</v>
      </c>
      <c r="J26" s="33" t="s">
        <v>780</v>
      </c>
      <c r="K26" s="33" t="s">
        <v>998</v>
      </c>
      <c r="L26" s="33" t="s">
        <v>999</v>
      </c>
    </row>
    <row r="27" spans="1:12" ht="12.75">
      <c r="A27" s="33" t="s">
        <v>1000</v>
      </c>
      <c r="B27" s="33" t="s">
        <v>1001</v>
      </c>
      <c r="C27" s="33" t="s">
        <v>1002</v>
      </c>
      <c r="D27" s="33">
        <v>508</v>
      </c>
      <c r="E27" s="33">
        <v>2508</v>
      </c>
      <c r="F27" s="33" t="s">
        <v>1003</v>
      </c>
      <c r="G27" s="33" t="s">
        <v>1004</v>
      </c>
      <c r="H27" s="33" t="s">
        <v>1005</v>
      </c>
      <c r="I27" s="33" t="s">
        <v>1006</v>
      </c>
      <c r="J27" s="33" t="s">
        <v>810</v>
      </c>
      <c r="K27" s="33" t="s">
        <v>1007</v>
      </c>
      <c r="L27" s="33" t="s">
        <v>1008</v>
      </c>
    </row>
    <row r="28" spans="1:12" ht="12.75">
      <c r="A28" s="33" t="s">
        <v>1009</v>
      </c>
      <c r="B28" s="33" t="s">
        <v>1010</v>
      </c>
      <c r="C28" s="33" t="s">
        <v>1011</v>
      </c>
      <c r="D28" s="33">
        <v>310</v>
      </c>
      <c r="E28" s="33">
        <v>2310</v>
      </c>
      <c r="F28" s="33" t="s">
        <v>1012</v>
      </c>
      <c r="G28" s="33" t="s">
        <v>1013</v>
      </c>
      <c r="H28" s="33" t="s">
        <v>1014</v>
      </c>
      <c r="I28" s="33" t="s">
        <v>1015</v>
      </c>
      <c r="J28" s="33" t="s">
        <v>810</v>
      </c>
      <c r="K28" s="33" t="s">
        <v>1016</v>
      </c>
      <c r="L28" s="33" t="s">
        <v>1017</v>
      </c>
    </row>
    <row r="29" spans="1:12" ht="12.75">
      <c r="A29" s="33" t="s">
        <v>1018</v>
      </c>
      <c r="B29" s="33" t="s">
        <v>1019</v>
      </c>
      <c r="C29" s="33" t="s">
        <v>1020</v>
      </c>
      <c r="D29" s="33">
        <v>111</v>
      </c>
      <c r="E29" s="33">
        <v>2111</v>
      </c>
      <c r="F29" s="33" t="s">
        <v>1021</v>
      </c>
      <c r="G29" s="33" t="s">
        <v>1022</v>
      </c>
      <c r="H29" s="33" t="s">
        <v>1023</v>
      </c>
      <c r="J29" s="33" t="s">
        <v>810</v>
      </c>
      <c r="L29" s="33" t="s">
        <v>1024</v>
      </c>
    </row>
    <row r="30" spans="1:12" ht="12.75">
      <c r="A30" s="33" t="s">
        <v>1025</v>
      </c>
      <c r="B30" s="33" t="s">
        <v>1026</v>
      </c>
      <c r="C30" s="33" t="s">
        <v>1027</v>
      </c>
      <c r="D30" s="33">
        <v>604</v>
      </c>
      <c r="E30" s="33">
        <v>2604</v>
      </c>
      <c r="F30" s="33" t="s">
        <v>1028</v>
      </c>
      <c r="G30" s="33" t="s">
        <v>1029</v>
      </c>
      <c r="H30" s="33" t="s">
        <v>1030</v>
      </c>
      <c r="I30" s="33" t="s">
        <v>1031</v>
      </c>
      <c r="J30" s="33" t="s">
        <v>810</v>
      </c>
      <c r="K30" s="33" t="s">
        <v>1032</v>
      </c>
      <c r="L30" s="33" t="s">
        <v>1033</v>
      </c>
    </row>
    <row r="31" spans="1:12" ht="12.75">
      <c r="A31" s="33" t="s">
        <v>1034</v>
      </c>
      <c r="B31" s="33" t="s">
        <v>1035</v>
      </c>
      <c r="C31" s="33" t="s">
        <v>1036</v>
      </c>
      <c r="D31" s="33">
        <v>3001</v>
      </c>
      <c r="E31" s="33">
        <v>3001</v>
      </c>
    </row>
    <row r="32" spans="1:12" ht="12.75">
      <c r="A32" s="33" t="s">
        <v>1037</v>
      </c>
      <c r="B32" s="33" t="s">
        <v>1038</v>
      </c>
      <c r="C32" s="33" t="s">
        <v>1036</v>
      </c>
      <c r="D32" s="33">
        <v>215</v>
      </c>
      <c r="E32" s="33">
        <v>1215</v>
      </c>
      <c r="F32" s="33" t="s">
        <v>1039</v>
      </c>
      <c r="G32" s="33" t="s">
        <v>1040</v>
      </c>
      <c r="H32" s="33" t="s">
        <v>1041</v>
      </c>
      <c r="I32" s="33" t="s">
        <v>1042</v>
      </c>
      <c r="J32" s="33" t="s">
        <v>1043</v>
      </c>
      <c r="L32" s="33" t="s">
        <v>1044</v>
      </c>
    </row>
    <row r="33" spans="1:12" ht="12.75">
      <c r="A33" s="33" t="s">
        <v>1045</v>
      </c>
      <c r="B33" s="33" t="s">
        <v>1046</v>
      </c>
      <c r="C33" s="33" t="s">
        <v>1047</v>
      </c>
      <c r="D33" s="33">
        <v>511</v>
      </c>
      <c r="E33" s="33">
        <v>2511</v>
      </c>
      <c r="F33" s="33" t="s">
        <v>1048</v>
      </c>
      <c r="G33" s="33" t="s">
        <v>1049</v>
      </c>
      <c r="H33" s="33" t="s">
        <v>1050</v>
      </c>
      <c r="I33" s="33" t="s">
        <v>1051</v>
      </c>
      <c r="J33" s="33" t="s">
        <v>810</v>
      </c>
      <c r="K33" s="33" t="s">
        <v>1052</v>
      </c>
      <c r="L33" s="33" t="s">
        <v>1053</v>
      </c>
    </row>
    <row r="34" spans="1:12" ht="12.75">
      <c r="A34" s="33" t="s">
        <v>1054</v>
      </c>
      <c r="B34" s="33" t="s">
        <v>1055</v>
      </c>
      <c r="C34" s="33" t="s">
        <v>1056</v>
      </c>
      <c r="D34" s="33">
        <v>703</v>
      </c>
      <c r="E34" s="33">
        <v>2703</v>
      </c>
      <c r="F34" s="33" t="s">
        <v>1057</v>
      </c>
      <c r="G34" s="33" t="s">
        <v>1058</v>
      </c>
      <c r="H34" s="33" t="s">
        <v>1059</v>
      </c>
      <c r="I34" s="33" t="s">
        <v>1060</v>
      </c>
      <c r="J34" s="33" t="s">
        <v>810</v>
      </c>
      <c r="K34" s="33" t="s">
        <v>1061</v>
      </c>
      <c r="L34" s="33" t="s">
        <v>1062</v>
      </c>
    </row>
    <row r="35" spans="1:12" ht="12.75">
      <c r="A35" s="33" t="s">
        <v>1063</v>
      </c>
      <c r="B35" s="33" t="s">
        <v>1064</v>
      </c>
      <c r="C35" s="33" t="s">
        <v>1065</v>
      </c>
      <c r="D35" s="33">
        <v>403</v>
      </c>
      <c r="E35" s="33">
        <v>2403</v>
      </c>
      <c r="F35" s="33" t="s">
        <v>1066</v>
      </c>
      <c r="G35" s="33" t="s">
        <v>1067</v>
      </c>
      <c r="H35" s="33" t="s">
        <v>1068</v>
      </c>
      <c r="I35" s="33" t="s">
        <v>1069</v>
      </c>
      <c r="J35" s="33" t="s">
        <v>810</v>
      </c>
      <c r="K35" s="33" t="s">
        <v>1070</v>
      </c>
      <c r="L35" s="33" t="s">
        <v>873</v>
      </c>
    </row>
    <row r="36" spans="1:12" ht="12.75">
      <c r="A36" s="33" t="s">
        <v>1071</v>
      </c>
      <c r="B36" s="33" t="s">
        <v>1072</v>
      </c>
      <c r="C36" s="33" t="s">
        <v>1073</v>
      </c>
      <c r="D36" s="33">
        <v>101</v>
      </c>
      <c r="E36" s="33">
        <v>2101</v>
      </c>
      <c r="F36" s="33" t="s">
        <v>1074</v>
      </c>
      <c r="G36" s="33" t="s">
        <v>1075</v>
      </c>
      <c r="H36" s="33" t="s">
        <v>1076</v>
      </c>
      <c r="I36" s="33" t="s">
        <v>1077</v>
      </c>
      <c r="J36" s="33" t="s">
        <v>810</v>
      </c>
      <c r="K36" s="33" t="s">
        <v>1078</v>
      </c>
      <c r="L36" s="33" t="s">
        <v>1079</v>
      </c>
    </row>
    <row r="37" spans="1:12" ht="12.75">
      <c r="A37" s="33" t="s">
        <v>1080</v>
      </c>
      <c r="B37" s="33" t="s">
        <v>1081</v>
      </c>
      <c r="C37" s="33" t="s">
        <v>1082</v>
      </c>
      <c r="D37" s="33">
        <v>249</v>
      </c>
      <c r="E37" s="33">
        <v>4249</v>
      </c>
      <c r="F37" s="33" t="s">
        <v>1083</v>
      </c>
      <c r="G37" s="33" t="s">
        <v>1084</v>
      </c>
      <c r="H37" s="33" t="s">
        <v>1085</v>
      </c>
      <c r="I37" s="33" t="s">
        <v>1086</v>
      </c>
      <c r="J37" s="33" t="s">
        <v>790</v>
      </c>
      <c r="K37" s="33" t="s">
        <v>1087</v>
      </c>
      <c r="L37" s="33" t="s">
        <v>1088</v>
      </c>
    </row>
    <row r="38" spans="1:12" ht="12.75">
      <c r="A38" s="33" t="s">
        <v>1089</v>
      </c>
      <c r="B38" s="33" t="s">
        <v>1090</v>
      </c>
      <c r="C38" s="33" t="s">
        <v>1091</v>
      </c>
      <c r="D38" s="33">
        <v>706</v>
      </c>
      <c r="E38" s="33">
        <v>2706</v>
      </c>
      <c r="F38" s="33" t="s">
        <v>1092</v>
      </c>
      <c r="G38" s="33" t="s">
        <v>1093</v>
      </c>
      <c r="H38" s="33" t="s">
        <v>1094</v>
      </c>
      <c r="I38" s="33" t="s">
        <v>1095</v>
      </c>
      <c r="J38" s="33" t="s">
        <v>810</v>
      </c>
      <c r="K38" s="33" t="s">
        <v>1096</v>
      </c>
      <c r="L38" s="33" t="s">
        <v>1097</v>
      </c>
    </row>
    <row r="39" spans="1:12" ht="12.75">
      <c r="A39" s="33" t="s">
        <v>1098</v>
      </c>
      <c r="B39" s="33" t="s">
        <v>1099</v>
      </c>
      <c r="C39" s="33" t="s">
        <v>1100</v>
      </c>
      <c r="D39" s="33">
        <v>100</v>
      </c>
      <c r="E39" s="33">
        <v>2100</v>
      </c>
      <c r="F39" s="33" t="s">
        <v>1101</v>
      </c>
      <c r="G39" s="33" t="s">
        <v>1102</v>
      </c>
      <c r="H39" s="33" t="s">
        <v>1103</v>
      </c>
      <c r="I39" s="33" t="s">
        <v>1104</v>
      </c>
      <c r="J39" s="33" t="s">
        <v>810</v>
      </c>
      <c r="K39" s="33" t="s">
        <v>1105</v>
      </c>
      <c r="L39" s="33" t="s">
        <v>1106</v>
      </c>
    </row>
    <row r="40" spans="1:12" ht="12.75">
      <c r="A40" s="33" t="s">
        <v>1107</v>
      </c>
      <c r="B40" s="33" t="s">
        <v>1108</v>
      </c>
      <c r="C40" s="33" t="s">
        <v>1109</v>
      </c>
      <c r="D40" s="33">
        <v>308</v>
      </c>
      <c r="E40" s="33">
        <v>2308</v>
      </c>
      <c r="F40" s="33" t="s">
        <v>1110</v>
      </c>
      <c r="G40" s="33" t="s">
        <v>1111</v>
      </c>
      <c r="H40" s="33" t="s">
        <v>1112</v>
      </c>
      <c r="I40" s="33" t="s">
        <v>1113</v>
      </c>
      <c r="J40" s="33" t="s">
        <v>810</v>
      </c>
      <c r="K40" s="33" t="s">
        <v>1114</v>
      </c>
      <c r="L40" s="33" t="s">
        <v>1115</v>
      </c>
    </row>
    <row r="41" spans="1:12" ht="12.75">
      <c r="A41" s="33" t="s">
        <v>1116</v>
      </c>
      <c r="B41" s="33" t="s">
        <v>1117</v>
      </c>
      <c r="C41" s="33" t="s">
        <v>1118</v>
      </c>
      <c r="D41" s="33">
        <v>510</v>
      </c>
      <c r="E41" s="33">
        <v>4510</v>
      </c>
      <c r="F41" s="33" t="s">
        <v>1119</v>
      </c>
      <c r="G41" s="33" t="s">
        <v>1120</v>
      </c>
      <c r="H41" s="33" t="s">
        <v>1121</v>
      </c>
      <c r="I41" s="33" t="s">
        <v>1122</v>
      </c>
      <c r="J41" s="33" t="s">
        <v>790</v>
      </c>
      <c r="K41" s="33" t="s">
        <v>1123</v>
      </c>
      <c r="L41" s="33" t="s">
        <v>1124</v>
      </c>
    </row>
    <row r="42" spans="1:12" ht="12.75">
      <c r="A42" s="33" t="s">
        <v>1125</v>
      </c>
      <c r="B42" s="33" t="s">
        <v>1126</v>
      </c>
      <c r="C42" s="33" t="s">
        <v>1127</v>
      </c>
      <c r="D42" s="33">
        <v>238</v>
      </c>
      <c r="E42" s="33">
        <v>2238</v>
      </c>
      <c r="F42" s="33" t="s">
        <v>1128</v>
      </c>
      <c r="G42" s="33" t="s">
        <v>1129</v>
      </c>
      <c r="H42" s="33" t="s">
        <v>1130</v>
      </c>
      <c r="I42" s="33" t="s">
        <v>1131</v>
      </c>
      <c r="J42" s="33" t="s">
        <v>810</v>
      </c>
      <c r="K42" s="33" t="s">
        <v>1132</v>
      </c>
      <c r="L42" s="33" t="s">
        <v>1133</v>
      </c>
    </row>
    <row r="43" spans="1:12" ht="12.75">
      <c r="A43" s="33" t="s">
        <v>1134</v>
      </c>
      <c r="B43" s="33" t="s">
        <v>1135</v>
      </c>
      <c r="C43" s="33" t="s">
        <v>1136</v>
      </c>
      <c r="D43" s="33">
        <v>229</v>
      </c>
      <c r="E43" s="33">
        <v>2229</v>
      </c>
      <c r="F43" s="33" t="s">
        <v>1137</v>
      </c>
      <c r="G43" s="33" t="s">
        <v>1138</v>
      </c>
      <c r="H43" s="33" t="s">
        <v>1139</v>
      </c>
      <c r="I43" s="33" t="s">
        <v>1140</v>
      </c>
      <c r="J43" s="33" t="s">
        <v>810</v>
      </c>
      <c r="K43" s="33" t="s">
        <v>1141</v>
      </c>
      <c r="L43" s="33" t="s">
        <v>1142</v>
      </c>
    </row>
    <row r="44" spans="1:12" ht="12.75">
      <c r="A44" s="33" t="s">
        <v>1143</v>
      </c>
      <c r="D44" s="33">
        <v>994</v>
      </c>
      <c r="E44" s="33">
        <v>994</v>
      </c>
    </row>
    <row r="45" spans="1:12" ht="12.75">
      <c r="A45" s="33" t="s">
        <v>1144</v>
      </c>
      <c r="B45" s="33" t="s">
        <v>1145</v>
      </c>
      <c r="C45" s="33" t="s">
        <v>1146</v>
      </c>
      <c r="D45" s="33">
        <v>808</v>
      </c>
      <c r="E45" s="33">
        <v>2808</v>
      </c>
      <c r="F45" s="33" t="s">
        <v>1147</v>
      </c>
      <c r="G45" s="33" t="s">
        <v>1148</v>
      </c>
      <c r="H45" s="33" t="s">
        <v>1149</v>
      </c>
      <c r="I45" s="33" t="s">
        <v>1150</v>
      </c>
      <c r="J45" s="33" t="s">
        <v>810</v>
      </c>
      <c r="K45" s="33" t="s">
        <v>1151</v>
      </c>
      <c r="L45" s="33" t="s">
        <v>1152</v>
      </c>
    </row>
    <row r="46" spans="1:12" ht="12.75">
      <c r="A46" s="33" t="s">
        <v>1153</v>
      </c>
      <c r="B46" s="33" t="s">
        <v>1154</v>
      </c>
      <c r="C46" s="33" t="s">
        <v>1155</v>
      </c>
      <c r="D46" s="33">
        <v>702</v>
      </c>
      <c r="E46" s="33">
        <v>2702</v>
      </c>
      <c r="F46" s="33" t="s">
        <v>1156</v>
      </c>
      <c r="G46" s="33" t="s">
        <v>1157</v>
      </c>
      <c r="H46" s="33" t="s">
        <v>1158</v>
      </c>
      <c r="I46" s="33" t="s">
        <v>1159</v>
      </c>
      <c r="J46" s="33" t="s">
        <v>810</v>
      </c>
      <c r="K46" s="33" t="s">
        <v>1160</v>
      </c>
      <c r="L46" s="33" t="s">
        <v>1161</v>
      </c>
    </row>
    <row r="47" spans="1:12" ht="12.75">
      <c r="A47" s="33" t="s">
        <v>1162</v>
      </c>
      <c r="B47" s="33" t="s">
        <v>1163</v>
      </c>
      <c r="C47" s="33" t="s">
        <v>1164</v>
      </c>
      <c r="D47" s="33">
        <v>701</v>
      </c>
      <c r="E47" s="33">
        <v>4701</v>
      </c>
      <c r="F47" s="33" t="s">
        <v>1165</v>
      </c>
      <c r="G47" s="33" t="s">
        <v>1166</v>
      </c>
      <c r="H47" s="33" t="s">
        <v>1167</v>
      </c>
      <c r="I47" s="33" t="s">
        <v>1168</v>
      </c>
      <c r="J47" s="33" t="s">
        <v>790</v>
      </c>
      <c r="K47" s="33" t="s">
        <v>1169</v>
      </c>
      <c r="L47" s="33" t="s">
        <v>1170</v>
      </c>
    </row>
    <row r="48" spans="1:12" ht="12.75">
      <c r="A48" s="33" t="s">
        <v>1171</v>
      </c>
      <c r="B48" s="33" t="s">
        <v>1172</v>
      </c>
      <c r="C48" s="33" t="s">
        <v>1173</v>
      </c>
      <c r="D48" s="33">
        <v>351</v>
      </c>
      <c r="E48" s="33">
        <v>2351</v>
      </c>
      <c r="F48" s="33" t="s">
        <v>1174</v>
      </c>
      <c r="G48" s="33" t="s">
        <v>1175</v>
      </c>
      <c r="H48" s="33" t="s">
        <v>1176</v>
      </c>
      <c r="I48" s="33" t="s">
        <v>1177</v>
      </c>
      <c r="J48" s="33" t="s">
        <v>810</v>
      </c>
      <c r="K48" s="33" t="s">
        <v>1178</v>
      </c>
      <c r="L48" s="33" t="s">
        <v>1179</v>
      </c>
    </row>
    <row r="49" spans="1:12" ht="12.75">
      <c r="A49" s="33" t="s">
        <v>1180</v>
      </c>
      <c r="B49" s="33" t="s">
        <v>1181</v>
      </c>
      <c r="C49" s="33" t="s">
        <v>1182</v>
      </c>
      <c r="D49" s="33">
        <v>570</v>
      </c>
      <c r="E49" s="33">
        <v>2570</v>
      </c>
      <c r="F49" s="33" t="s">
        <v>1183</v>
      </c>
      <c r="G49" s="33" t="s">
        <v>1184</v>
      </c>
      <c r="H49" s="33" t="s">
        <v>1185</v>
      </c>
      <c r="I49" s="33" t="s">
        <v>1186</v>
      </c>
      <c r="J49" s="33" t="s">
        <v>810</v>
      </c>
      <c r="K49" s="33" t="s">
        <v>1187</v>
      </c>
      <c r="L49" s="33" t="s">
        <v>1188</v>
      </c>
    </row>
    <row r="50" spans="1:12" ht="12.75">
      <c r="A50" s="33" t="s">
        <v>1189</v>
      </c>
      <c r="B50" s="33" t="s">
        <v>1190</v>
      </c>
      <c r="C50" s="33" t="s">
        <v>1191</v>
      </c>
      <c r="D50" s="33">
        <v>747</v>
      </c>
      <c r="E50" s="33">
        <v>2747</v>
      </c>
      <c r="F50" s="33" t="s">
        <v>1192</v>
      </c>
      <c r="G50" s="33" t="s">
        <v>1193</v>
      </c>
      <c r="H50" s="33" t="s">
        <v>1194</v>
      </c>
      <c r="I50" s="33" t="s">
        <v>1195</v>
      </c>
      <c r="J50" s="33" t="s">
        <v>810</v>
      </c>
      <c r="K50" s="33" t="s">
        <v>1196</v>
      </c>
      <c r="L50" s="33" t="s">
        <v>1197</v>
      </c>
    </row>
    <row r="51" spans="1:12" ht="12.75">
      <c r="A51" s="33" t="s">
        <v>1198</v>
      </c>
      <c r="B51" s="33" t="s">
        <v>1199</v>
      </c>
      <c r="C51" s="33" t="s">
        <v>1200</v>
      </c>
      <c r="D51" s="33">
        <v>107</v>
      </c>
      <c r="E51" s="33">
        <v>3107</v>
      </c>
      <c r="F51" s="33" t="s">
        <v>1201</v>
      </c>
      <c r="G51" s="33" t="s">
        <v>1202</v>
      </c>
      <c r="H51" s="33" t="s">
        <v>1203</v>
      </c>
      <c r="I51" s="33" t="s">
        <v>1204</v>
      </c>
      <c r="J51" s="33" t="s">
        <v>780</v>
      </c>
      <c r="K51" s="33" t="s">
        <v>1205</v>
      </c>
      <c r="L51" s="33" t="s">
        <v>1206</v>
      </c>
    </row>
    <row r="52" spans="1:12" ht="12.75">
      <c r="A52" s="33" t="s">
        <v>1207</v>
      </c>
      <c r="B52" s="33" t="s">
        <v>1208</v>
      </c>
      <c r="C52" s="33" t="s">
        <v>1209</v>
      </c>
      <c r="D52" s="33">
        <v>242</v>
      </c>
      <c r="E52" s="33">
        <v>2242</v>
      </c>
      <c r="F52" s="33" t="s">
        <v>1210</v>
      </c>
      <c r="G52" s="33" t="s">
        <v>1211</v>
      </c>
      <c r="H52" s="33" t="s">
        <v>1212</v>
      </c>
      <c r="I52" s="33" t="s">
        <v>1213</v>
      </c>
      <c r="J52" s="33" t="s">
        <v>810</v>
      </c>
      <c r="K52" s="33" t="s">
        <v>1214</v>
      </c>
      <c r="L52" s="33" t="s">
        <v>1215</v>
      </c>
    </row>
    <row r="53" spans="1:12" ht="12.75">
      <c r="A53" s="33" t="s">
        <v>1216</v>
      </c>
      <c r="B53" s="33" t="s">
        <v>1217</v>
      </c>
      <c r="C53" s="33" t="s">
        <v>1218</v>
      </c>
      <c r="D53" s="33">
        <v>241</v>
      </c>
      <c r="E53" s="33">
        <v>2241</v>
      </c>
      <c r="F53" s="33" t="s">
        <v>1219</v>
      </c>
      <c r="G53" s="33" t="s">
        <v>1220</v>
      </c>
      <c r="H53" s="33" t="s">
        <v>1221</v>
      </c>
      <c r="I53" s="33" t="s">
        <v>1222</v>
      </c>
      <c r="J53" s="33" t="s">
        <v>810</v>
      </c>
      <c r="K53" s="33" t="s">
        <v>1223</v>
      </c>
      <c r="L53" s="33" t="s">
        <v>1224</v>
      </c>
    </row>
    <row r="54" spans="1:12" ht="12.75">
      <c r="A54" s="33" t="s">
        <v>1225</v>
      </c>
      <c r="B54" s="33" t="s">
        <v>1226</v>
      </c>
      <c r="C54" s="33" t="s">
        <v>1227</v>
      </c>
      <c r="D54" s="33">
        <v>820</v>
      </c>
      <c r="E54" s="33">
        <v>3820</v>
      </c>
      <c r="F54" s="33" t="s">
        <v>1228</v>
      </c>
      <c r="G54" s="33" t="s">
        <v>1229</v>
      </c>
      <c r="H54" s="33" t="s">
        <v>1230</v>
      </c>
      <c r="I54" s="33" t="s">
        <v>1231</v>
      </c>
      <c r="J54" s="33" t="s">
        <v>780</v>
      </c>
      <c r="K54" s="33" t="s">
        <v>1232</v>
      </c>
      <c r="L54" s="33" t="s">
        <v>1233</v>
      </c>
    </row>
    <row r="55" spans="1:12" ht="12.75">
      <c r="A55" s="33" t="s">
        <v>1234</v>
      </c>
      <c r="B55" s="33" t="s">
        <v>1235</v>
      </c>
      <c r="C55" s="33" t="s">
        <v>1236</v>
      </c>
      <c r="D55" s="33">
        <v>756</v>
      </c>
      <c r="E55" s="33">
        <v>2756</v>
      </c>
      <c r="F55" s="33" t="s">
        <v>1237</v>
      </c>
      <c r="G55" s="33" t="s">
        <v>1238</v>
      </c>
      <c r="H55" s="33" t="s">
        <v>1239</v>
      </c>
      <c r="I55" s="33" t="s">
        <v>1240</v>
      </c>
      <c r="J55" s="33" t="s">
        <v>810</v>
      </c>
      <c r="K55" s="33" t="s">
        <v>1241</v>
      </c>
      <c r="L55" s="33" t="s">
        <v>1242</v>
      </c>
    </row>
    <row r="56" spans="1:12" ht="12.75">
      <c r="A56" s="33" t="s">
        <v>1243</v>
      </c>
      <c r="B56" s="33" t="s">
        <v>1244</v>
      </c>
      <c r="C56" s="33" t="s">
        <v>1245</v>
      </c>
      <c r="D56" s="33">
        <v>775</v>
      </c>
      <c r="E56" s="33">
        <v>3775</v>
      </c>
      <c r="F56" s="33" t="s">
        <v>1246</v>
      </c>
      <c r="G56" s="33" t="s">
        <v>1247</v>
      </c>
      <c r="H56" s="33" t="s">
        <v>1248</v>
      </c>
      <c r="I56" s="33" t="s">
        <v>1249</v>
      </c>
      <c r="J56" s="33" t="s">
        <v>780</v>
      </c>
      <c r="K56" s="33" t="s">
        <v>1250</v>
      </c>
      <c r="L56" s="33" t="s">
        <v>1251</v>
      </c>
    </row>
    <row r="57" spans="1:12" ht="12.75">
      <c r="A57" s="33" t="s">
        <v>1252</v>
      </c>
      <c r="D57" s="33">
        <v>3006</v>
      </c>
    </row>
    <row r="58" spans="1:12" ht="12.75">
      <c r="A58" s="33" t="s">
        <v>1253</v>
      </c>
      <c r="B58" s="33" t="s">
        <v>1254</v>
      </c>
      <c r="C58" s="33" t="s">
        <v>1255</v>
      </c>
      <c r="D58" s="33">
        <v>303</v>
      </c>
      <c r="E58" s="33">
        <v>2303</v>
      </c>
      <c r="F58" s="33" t="s">
        <v>1256</v>
      </c>
      <c r="G58" s="33" t="s">
        <v>1257</v>
      </c>
      <c r="H58" s="33" t="s">
        <v>1258</v>
      </c>
      <c r="I58" s="33" t="s">
        <v>1259</v>
      </c>
      <c r="J58" s="33" t="s">
        <v>810</v>
      </c>
      <c r="K58" s="33" t="s">
        <v>1260</v>
      </c>
      <c r="L58" s="33" t="s">
        <v>1261</v>
      </c>
    </row>
    <row r="59" spans="1:12" ht="12.75">
      <c r="A59" s="33" t="s">
        <v>1262</v>
      </c>
      <c r="B59" s="33" t="s">
        <v>1263</v>
      </c>
      <c r="C59" s="33" t="s">
        <v>1036</v>
      </c>
      <c r="D59" s="33">
        <v>233</v>
      </c>
      <c r="E59" s="33">
        <v>2233</v>
      </c>
      <c r="F59" s="33" t="s">
        <v>1264</v>
      </c>
      <c r="G59" s="33" t="s">
        <v>1265</v>
      </c>
      <c r="H59" s="33" t="s">
        <v>1266</v>
      </c>
      <c r="I59" s="33" t="s">
        <v>1267</v>
      </c>
      <c r="J59" s="33" t="s">
        <v>810</v>
      </c>
      <c r="K59" s="33" t="s">
        <v>1268</v>
      </c>
      <c r="L59" s="33" t="s">
        <v>1269</v>
      </c>
    </row>
    <row r="60" spans="1:12" ht="12.75">
      <c r="A60" s="33" t="s">
        <v>1270</v>
      </c>
      <c r="B60" s="33" t="s">
        <v>1271</v>
      </c>
      <c r="C60" s="33" t="s">
        <v>841</v>
      </c>
      <c r="D60" s="33">
        <v>219</v>
      </c>
      <c r="E60" s="33">
        <v>2219</v>
      </c>
      <c r="F60" s="33" t="s">
        <v>1272</v>
      </c>
      <c r="G60" s="33" t="s">
        <v>1273</v>
      </c>
      <c r="H60" s="33" t="s">
        <v>1274</v>
      </c>
      <c r="I60" s="33" t="s">
        <v>1275</v>
      </c>
      <c r="J60" s="33" t="s">
        <v>810</v>
      </c>
      <c r="K60" s="33" t="s">
        <v>1276</v>
      </c>
      <c r="L60" s="33" t="s">
        <v>1277</v>
      </c>
    </row>
    <row r="61" spans="1:12" ht="12.75">
      <c r="A61" s="33" t="s">
        <v>1278</v>
      </c>
      <c r="B61" s="33" t="s">
        <v>1279</v>
      </c>
      <c r="C61" s="33" t="s">
        <v>1280</v>
      </c>
      <c r="D61" s="33">
        <v>566</v>
      </c>
      <c r="E61" s="33">
        <v>2566</v>
      </c>
      <c r="F61" s="33" t="s">
        <v>1281</v>
      </c>
      <c r="G61" s="33" t="s">
        <v>1282</v>
      </c>
      <c r="H61" s="33" t="s">
        <v>1283</v>
      </c>
      <c r="I61" s="33" t="s">
        <v>1284</v>
      </c>
      <c r="J61" s="33" t="s">
        <v>810</v>
      </c>
      <c r="K61" s="33" t="s">
        <v>1285</v>
      </c>
      <c r="L61" s="33" t="s">
        <v>1286</v>
      </c>
    </row>
    <row r="62" spans="1:12" ht="12.75">
      <c r="A62" s="33" t="s">
        <v>1287</v>
      </c>
      <c r="B62" s="33" t="s">
        <v>1288</v>
      </c>
      <c r="C62" s="33" t="s">
        <v>1289</v>
      </c>
      <c r="D62" s="33">
        <v>770</v>
      </c>
      <c r="E62" s="33">
        <v>2770</v>
      </c>
      <c r="F62" s="33" t="s">
        <v>1290</v>
      </c>
      <c r="G62" s="33" t="s">
        <v>1291</v>
      </c>
      <c r="H62" s="33" t="s">
        <v>1292</v>
      </c>
      <c r="I62" s="33" t="s">
        <v>1293</v>
      </c>
      <c r="J62" s="33" t="s">
        <v>810</v>
      </c>
      <c r="K62" s="33" t="s">
        <v>1294</v>
      </c>
      <c r="L62" s="33" t="s">
        <v>1295</v>
      </c>
    </row>
    <row r="63" spans="1:12" ht="12.75">
      <c r="A63" s="33" t="s">
        <v>1296</v>
      </c>
      <c r="B63" s="33" t="s">
        <v>1297</v>
      </c>
      <c r="C63" s="33" t="s">
        <v>1298</v>
      </c>
      <c r="D63" s="33">
        <v>549</v>
      </c>
      <c r="E63" s="33">
        <v>2549</v>
      </c>
      <c r="F63" s="33" t="s">
        <v>1299</v>
      </c>
      <c r="G63" s="33" t="s">
        <v>1300</v>
      </c>
      <c r="H63" s="33" t="s">
        <v>1301</v>
      </c>
      <c r="I63" s="33" t="s">
        <v>1302</v>
      </c>
      <c r="J63" s="33" t="s">
        <v>810</v>
      </c>
      <c r="K63" s="33" t="s">
        <v>1303</v>
      </c>
      <c r="L63" s="33" t="s">
        <v>1304</v>
      </c>
    </row>
    <row r="64" spans="1:12" ht="12.75">
      <c r="A64" s="33" t="s">
        <v>1305</v>
      </c>
      <c r="B64" s="33" t="s">
        <v>1306</v>
      </c>
      <c r="C64" s="33" t="s">
        <v>1307</v>
      </c>
      <c r="D64" s="33">
        <v>506</v>
      </c>
      <c r="E64" s="33">
        <v>2506</v>
      </c>
      <c r="F64" s="33" t="s">
        <v>1308</v>
      </c>
      <c r="G64" s="33" t="s">
        <v>1309</v>
      </c>
      <c r="H64" s="33" t="s">
        <v>1310</v>
      </c>
      <c r="I64" s="33" t="s">
        <v>1311</v>
      </c>
      <c r="J64" s="33" t="s">
        <v>810</v>
      </c>
      <c r="K64" s="33" t="s">
        <v>1312</v>
      </c>
      <c r="L64" s="33" t="s">
        <v>1313</v>
      </c>
    </row>
    <row r="65" spans="1:12" ht="12.75">
      <c r="A65" s="33" t="s">
        <v>1314</v>
      </c>
      <c r="B65" s="33" t="s">
        <v>1315</v>
      </c>
      <c r="C65" s="33" t="s">
        <v>1316</v>
      </c>
      <c r="D65" s="33">
        <v>803</v>
      </c>
      <c r="E65" s="33">
        <v>2803</v>
      </c>
      <c r="F65" s="33" t="s">
        <v>1317</v>
      </c>
      <c r="G65" s="33" t="s">
        <v>1318</v>
      </c>
      <c r="H65" s="33" t="s">
        <v>1319</v>
      </c>
      <c r="I65" s="33" t="s">
        <v>1320</v>
      </c>
      <c r="J65" s="33" t="s">
        <v>810</v>
      </c>
      <c r="K65" s="33" t="s">
        <v>1321</v>
      </c>
      <c r="L65" s="33" t="s">
        <v>1322</v>
      </c>
    </row>
    <row r="66" spans="1:12" ht="12.75">
      <c r="A66" s="33" t="s">
        <v>1323</v>
      </c>
      <c r="B66" s="33" t="s">
        <v>1324</v>
      </c>
      <c r="C66" s="33" t="s">
        <v>1325</v>
      </c>
      <c r="D66" s="33">
        <v>248</v>
      </c>
      <c r="E66" s="33">
        <v>3248</v>
      </c>
      <c r="F66" s="33" t="s">
        <v>1326</v>
      </c>
      <c r="G66" s="33" t="s">
        <v>1327</v>
      </c>
      <c r="H66" s="33" t="s">
        <v>1328</v>
      </c>
      <c r="I66" s="33" t="s">
        <v>1329</v>
      </c>
      <c r="J66" s="33" t="s">
        <v>780</v>
      </c>
      <c r="K66" s="33" t="s">
        <v>1330</v>
      </c>
      <c r="L66" s="33" t="s">
        <v>1331</v>
      </c>
    </row>
    <row r="67" spans="1:12" ht="12.75">
      <c r="A67" s="33" t="s">
        <v>1332</v>
      </c>
      <c r="D67" s="33">
        <v>6133</v>
      </c>
      <c r="E67" s="33">
        <v>6133</v>
      </c>
    </row>
    <row r="68" spans="1:12" ht="12.75">
      <c r="A68" s="33" t="s">
        <v>1333</v>
      </c>
      <c r="B68" s="33" t="s">
        <v>1334</v>
      </c>
      <c r="C68" s="33" t="s">
        <v>1335</v>
      </c>
      <c r="D68" s="33">
        <v>106</v>
      </c>
      <c r="E68" s="33">
        <v>2106</v>
      </c>
      <c r="F68" s="33" t="s">
        <v>1336</v>
      </c>
      <c r="G68" s="33" t="s">
        <v>1337</v>
      </c>
      <c r="H68" s="33" t="s">
        <v>1338</v>
      </c>
      <c r="I68" s="33" t="s">
        <v>1339</v>
      </c>
      <c r="J68" s="33" t="s">
        <v>810</v>
      </c>
      <c r="K68" s="33" t="s">
        <v>1340</v>
      </c>
      <c r="L68" s="33" t="s">
        <v>1170</v>
      </c>
    </row>
    <row r="69" spans="1:12" ht="12.75">
      <c r="A69" s="33" t="s">
        <v>1341</v>
      </c>
      <c r="B69" s="33" t="s">
        <v>1342</v>
      </c>
      <c r="C69" s="33" t="s">
        <v>1343</v>
      </c>
      <c r="D69" s="33">
        <v>311</v>
      </c>
      <c r="E69" s="33">
        <v>3311</v>
      </c>
      <c r="F69" s="33" t="s">
        <v>1344</v>
      </c>
      <c r="G69" s="33" t="s">
        <v>1345</v>
      </c>
      <c r="H69" s="33" t="s">
        <v>1346</v>
      </c>
      <c r="I69" s="33" t="s">
        <v>1347</v>
      </c>
      <c r="J69" s="33" t="s">
        <v>780</v>
      </c>
      <c r="K69" s="33" t="s">
        <v>1348</v>
      </c>
      <c r="L69" s="33" t="s">
        <v>1349</v>
      </c>
    </row>
    <row r="70" spans="1:12" ht="12.75">
      <c r="A70" s="33" t="s">
        <v>1350</v>
      </c>
      <c r="B70" s="33" t="s">
        <v>1351</v>
      </c>
      <c r="C70" s="33" t="s">
        <v>1352</v>
      </c>
      <c r="D70" s="33">
        <v>553</v>
      </c>
      <c r="E70" s="33">
        <v>2553</v>
      </c>
      <c r="F70" s="33" t="s">
        <v>1353</v>
      </c>
      <c r="G70" s="33" t="s">
        <v>1354</v>
      </c>
      <c r="H70" s="33" t="s">
        <v>1355</v>
      </c>
      <c r="I70" s="33" t="s">
        <v>1356</v>
      </c>
      <c r="J70" s="33" t="s">
        <v>810</v>
      </c>
      <c r="K70" s="33" t="s">
        <v>1357</v>
      </c>
      <c r="L70" s="33" t="s">
        <v>1358</v>
      </c>
    </row>
    <row r="71" spans="1:12" ht="12.75">
      <c r="A71" s="33" t="s">
        <v>1359</v>
      </c>
      <c r="B71" s="33" t="s">
        <v>1360</v>
      </c>
      <c r="C71" s="33" t="s">
        <v>1361</v>
      </c>
      <c r="D71" s="33">
        <v>551</v>
      </c>
      <c r="E71" s="33">
        <v>4551</v>
      </c>
      <c r="F71" s="33" t="s">
        <v>1362</v>
      </c>
      <c r="G71" s="33" t="s">
        <v>1363</v>
      </c>
      <c r="H71" s="33" t="s">
        <v>1364</v>
      </c>
      <c r="I71" s="33" t="s">
        <v>1365</v>
      </c>
      <c r="J71" s="33" t="s">
        <v>790</v>
      </c>
      <c r="K71" s="33" t="s">
        <v>1366</v>
      </c>
      <c r="L71" s="33" t="s">
        <v>1367</v>
      </c>
    </row>
    <row r="72" spans="1:12" ht="12.75">
      <c r="A72" s="33" t="s">
        <v>1368</v>
      </c>
      <c r="B72" s="33" t="s">
        <v>1369</v>
      </c>
      <c r="C72" s="33" t="s">
        <v>1370</v>
      </c>
      <c r="D72" s="33">
        <v>554</v>
      </c>
      <c r="E72" s="33">
        <v>3554</v>
      </c>
      <c r="F72" s="33" t="s">
        <v>1371</v>
      </c>
      <c r="G72" s="33" t="s">
        <v>1372</v>
      </c>
      <c r="H72" s="33" t="s">
        <v>1373</v>
      </c>
      <c r="I72" s="33" t="s">
        <v>1374</v>
      </c>
      <c r="J72" s="33" t="s">
        <v>780</v>
      </c>
      <c r="K72" s="33" t="s">
        <v>1375</v>
      </c>
      <c r="L72" s="33" t="s">
        <v>1376</v>
      </c>
    </row>
    <row r="73" spans="1:12" ht="12.75">
      <c r="A73" s="33" t="s">
        <v>1377</v>
      </c>
      <c r="B73" s="33" t="s">
        <v>1378</v>
      </c>
      <c r="C73" s="33" t="s">
        <v>1379</v>
      </c>
      <c r="D73" s="33">
        <v>313</v>
      </c>
      <c r="E73" s="33">
        <v>2313</v>
      </c>
      <c r="F73" s="33" t="s">
        <v>1380</v>
      </c>
      <c r="G73" s="33" t="s">
        <v>1381</v>
      </c>
      <c r="H73" s="33" t="s">
        <v>1382</v>
      </c>
      <c r="I73" s="33" t="s">
        <v>1383</v>
      </c>
      <c r="J73" s="33" t="s">
        <v>810</v>
      </c>
      <c r="K73" s="33" t="s">
        <v>1384</v>
      </c>
      <c r="L73" s="33" t="s">
        <v>1385</v>
      </c>
    </row>
    <row r="74" spans="1:12" ht="12.75">
      <c r="A74" s="33" t="s">
        <v>1386</v>
      </c>
      <c r="B74" s="33" t="s">
        <v>1387</v>
      </c>
      <c r="C74" s="33" t="s">
        <v>1388</v>
      </c>
      <c r="D74" s="33">
        <v>204</v>
      </c>
      <c r="E74" s="33">
        <v>2204</v>
      </c>
      <c r="F74" s="33" t="s">
        <v>1389</v>
      </c>
      <c r="G74" s="33" t="s">
        <v>1390</v>
      </c>
      <c r="H74" s="33" t="s">
        <v>1391</v>
      </c>
      <c r="I74" s="33" t="s">
        <v>1392</v>
      </c>
      <c r="J74" s="33" t="s">
        <v>810</v>
      </c>
      <c r="K74" s="33" t="s">
        <v>1393</v>
      </c>
      <c r="L74" s="33" t="s">
        <v>1394</v>
      </c>
    </row>
    <row r="75" spans="1:12" ht="12.75">
      <c r="A75" s="33" t="s">
        <v>1395</v>
      </c>
      <c r="D75" s="33">
        <v>3005</v>
      </c>
      <c r="E75" s="33">
        <v>3005</v>
      </c>
    </row>
    <row r="76" spans="1:12" ht="12.75">
      <c r="A76" s="33" t="s">
        <v>1396</v>
      </c>
      <c r="B76" s="33" t="s">
        <v>1397</v>
      </c>
      <c r="C76" s="33" t="s">
        <v>1398</v>
      </c>
      <c r="D76" s="33">
        <v>786</v>
      </c>
      <c r="E76" s="33">
        <v>2786</v>
      </c>
      <c r="F76" s="33" t="s">
        <v>1399</v>
      </c>
      <c r="G76" s="33" t="s">
        <v>1400</v>
      </c>
      <c r="H76" s="33" t="s">
        <v>1401</v>
      </c>
      <c r="I76" s="33" t="s">
        <v>1402</v>
      </c>
      <c r="J76" s="33" t="s">
        <v>810</v>
      </c>
      <c r="K76" s="33" t="s">
        <v>1403</v>
      </c>
      <c r="L76" s="33" t="s">
        <v>1404</v>
      </c>
    </row>
    <row r="77" spans="1:12" ht="12.75">
      <c r="A77" s="33" t="s">
        <v>1405</v>
      </c>
      <c r="B77" s="33" t="s">
        <v>1406</v>
      </c>
      <c r="C77" s="33" t="s">
        <v>1407</v>
      </c>
      <c r="D77" s="33">
        <v>102</v>
      </c>
      <c r="E77" s="33">
        <v>2102</v>
      </c>
      <c r="F77" s="33" t="s">
        <v>1408</v>
      </c>
      <c r="G77" s="33" t="s">
        <v>1409</v>
      </c>
      <c r="H77" s="33" t="s">
        <v>1410</v>
      </c>
      <c r="I77" s="33" t="s">
        <v>1411</v>
      </c>
      <c r="J77" s="33" t="s">
        <v>810</v>
      </c>
      <c r="K77" s="33" t="s">
        <v>1412</v>
      </c>
      <c r="L77" s="33" t="s">
        <v>1413</v>
      </c>
    </row>
    <row r="78" spans="1:12" ht="12.75">
      <c r="A78" s="33" t="s">
        <v>1414</v>
      </c>
      <c r="B78" s="33" t="s">
        <v>1415</v>
      </c>
      <c r="C78" s="33" t="s">
        <v>1416</v>
      </c>
      <c r="D78" s="33">
        <v>767</v>
      </c>
      <c r="E78" s="33">
        <v>2767</v>
      </c>
      <c r="F78" s="33" t="s">
        <v>1417</v>
      </c>
      <c r="G78" s="33" t="s">
        <v>1418</v>
      </c>
      <c r="H78" s="33" t="s">
        <v>1419</v>
      </c>
      <c r="I78" s="33" t="s">
        <v>1420</v>
      </c>
      <c r="J78" s="33" t="s">
        <v>810</v>
      </c>
      <c r="K78" s="33" t="s">
        <v>1421</v>
      </c>
      <c r="L78" s="33" t="s">
        <v>1422</v>
      </c>
    </row>
    <row r="79" spans="1:12" ht="12.75">
      <c r="A79" s="33" t="s">
        <v>1423</v>
      </c>
      <c r="B79" s="33" t="s">
        <v>1424</v>
      </c>
      <c r="C79" s="33" t="s">
        <v>1425</v>
      </c>
      <c r="D79" s="33">
        <v>817</v>
      </c>
      <c r="E79" s="33">
        <v>2817</v>
      </c>
      <c r="F79" s="33" t="s">
        <v>1426</v>
      </c>
      <c r="G79" s="33" t="s">
        <v>1427</v>
      </c>
      <c r="H79" s="33" t="s">
        <v>1428</v>
      </c>
      <c r="I79" s="33" t="s">
        <v>1429</v>
      </c>
      <c r="J79" s="33" t="s">
        <v>810</v>
      </c>
      <c r="K79" s="33" t="s">
        <v>1430</v>
      </c>
      <c r="L79" s="33" t="s">
        <v>1431</v>
      </c>
    </row>
    <row r="80" spans="1:12" ht="12.75">
      <c r="A80" s="33" t="s">
        <v>1432</v>
      </c>
      <c r="B80" s="33" t="s">
        <v>1433</v>
      </c>
      <c r="C80" s="33" t="s">
        <v>1434</v>
      </c>
      <c r="D80" s="33">
        <v>546</v>
      </c>
      <c r="E80" s="33">
        <v>2546</v>
      </c>
      <c r="F80" s="33" t="s">
        <v>1435</v>
      </c>
      <c r="G80" s="33" t="s">
        <v>1436</v>
      </c>
      <c r="H80" s="33" t="s">
        <v>1437</v>
      </c>
      <c r="I80" s="33" t="s">
        <v>1438</v>
      </c>
      <c r="J80" s="33" t="s">
        <v>810</v>
      </c>
      <c r="K80" s="33" t="s">
        <v>1439</v>
      </c>
      <c r="L80" s="33" t="s">
        <v>1440</v>
      </c>
    </row>
    <row r="81" spans="1:12" ht="12.75">
      <c r="A81" s="33" t="s">
        <v>1441</v>
      </c>
      <c r="B81" s="33" t="s">
        <v>1442</v>
      </c>
      <c r="C81" s="33" t="s">
        <v>1443</v>
      </c>
      <c r="D81" s="33">
        <v>340</v>
      </c>
      <c r="E81" s="33">
        <v>2340</v>
      </c>
      <c r="F81" s="33" t="s">
        <v>1444</v>
      </c>
      <c r="G81" s="33" t="s">
        <v>1445</v>
      </c>
      <c r="H81" s="33" t="s">
        <v>1446</v>
      </c>
      <c r="I81" s="33" t="s">
        <v>1447</v>
      </c>
      <c r="J81" s="33" t="s">
        <v>810</v>
      </c>
      <c r="K81" s="33" t="s">
        <v>1448</v>
      </c>
      <c r="L81" s="33" t="s">
        <v>1449</v>
      </c>
    </row>
    <row r="82" spans="1:12" ht="12.75">
      <c r="A82" s="33" t="s">
        <v>1450</v>
      </c>
      <c r="B82" s="33" t="s">
        <v>1451</v>
      </c>
      <c r="C82" s="33" t="s">
        <v>1452</v>
      </c>
      <c r="D82" s="33">
        <v>334</v>
      </c>
      <c r="E82" s="33">
        <v>2334</v>
      </c>
      <c r="F82" s="33" t="s">
        <v>1453</v>
      </c>
      <c r="G82" s="33" t="s">
        <v>1454</v>
      </c>
      <c r="H82" s="33" t="s">
        <v>1455</v>
      </c>
      <c r="I82" s="33" t="s">
        <v>1456</v>
      </c>
      <c r="J82" s="33" t="s">
        <v>810</v>
      </c>
      <c r="K82" s="33" t="s">
        <v>1457</v>
      </c>
      <c r="L82" s="33" t="s">
        <v>1458</v>
      </c>
    </row>
    <row r="83" spans="1:12" ht="12.75">
      <c r="A83" s="33" t="s">
        <v>1459</v>
      </c>
      <c r="B83" s="33" t="s">
        <v>1460</v>
      </c>
      <c r="C83" s="33" t="s">
        <v>1461</v>
      </c>
      <c r="D83" s="33">
        <v>512</v>
      </c>
      <c r="E83" s="33">
        <v>2512</v>
      </c>
      <c r="F83" s="33" t="s">
        <v>1462</v>
      </c>
      <c r="G83" s="33" t="s">
        <v>1463</v>
      </c>
      <c r="H83" s="33" t="s">
        <v>1464</v>
      </c>
      <c r="I83" s="33" t="s">
        <v>1465</v>
      </c>
      <c r="J83" s="33" t="s">
        <v>810</v>
      </c>
      <c r="K83" s="33" t="s">
        <v>1466</v>
      </c>
      <c r="L83" s="33" t="s">
        <v>1467</v>
      </c>
    </row>
    <row r="84" spans="1:12" ht="12.75">
      <c r="A84" s="33" t="s">
        <v>1468</v>
      </c>
      <c r="B84" s="33" t="s">
        <v>1469</v>
      </c>
      <c r="C84" s="33" t="s">
        <v>1470</v>
      </c>
      <c r="D84" s="33">
        <v>345</v>
      </c>
      <c r="E84" s="33">
        <v>3345</v>
      </c>
      <c r="F84" s="33" t="s">
        <v>1471</v>
      </c>
      <c r="G84" s="33" t="s">
        <v>1472</v>
      </c>
      <c r="H84" s="33" t="s">
        <v>1473</v>
      </c>
      <c r="I84" s="33" t="s">
        <v>1474</v>
      </c>
      <c r="J84" s="33" t="s">
        <v>780</v>
      </c>
      <c r="K84" s="33" t="s">
        <v>1475</v>
      </c>
      <c r="L84" s="33" t="s">
        <v>1476</v>
      </c>
    </row>
    <row r="85" spans="1:12" ht="12.75">
      <c r="A85" s="33" t="s">
        <v>1477</v>
      </c>
      <c r="B85" s="33" t="s">
        <v>1478</v>
      </c>
      <c r="C85" s="33" t="s">
        <v>1479</v>
      </c>
      <c r="D85" s="33">
        <v>797</v>
      </c>
      <c r="E85" s="33">
        <v>2797</v>
      </c>
      <c r="F85" s="33" t="s">
        <v>1480</v>
      </c>
      <c r="G85" s="33" t="s">
        <v>1481</v>
      </c>
      <c r="H85" s="33" t="s">
        <v>1482</v>
      </c>
      <c r="I85" s="33" t="s">
        <v>1483</v>
      </c>
      <c r="J85" s="33" t="s">
        <v>810</v>
      </c>
      <c r="K85" s="33" t="s">
        <v>1484</v>
      </c>
      <c r="L85" s="33" t="s">
        <v>1485</v>
      </c>
    </row>
    <row r="86" spans="1:12" ht="12.75">
      <c r="A86" s="33" t="s">
        <v>1486</v>
      </c>
      <c r="B86" s="33" t="s">
        <v>1487</v>
      </c>
      <c r="C86" s="33" t="s">
        <v>1488</v>
      </c>
      <c r="D86" s="33">
        <v>580</v>
      </c>
      <c r="E86" s="33">
        <v>2580</v>
      </c>
      <c r="F86" s="33" t="s">
        <v>1489</v>
      </c>
      <c r="G86" s="33" t="s">
        <v>1490</v>
      </c>
      <c r="H86" s="33" t="s">
        <v>1491</v>
      </c>
      <c r="I86" s="33" t="s">
        <v>1492</v>
      </c>
      <c r="J86" s="33" t="s">
        <v>810</v>
      </c>
      <c r="K86" s="33" t="s">
        <v>1493</v>
      </c>
      <c r="L86" s="33" t="s">
        <v>1494</v>
      </c>
    </row>
    <row r="87" spans="1:12" ht="12.75">
      <c r="A87" s="33" t="s">
        <v>1495</v>
      </c>
      <c r="B87" s="33" t="s">
        <v>1496</v>
      </c>
      <c r="C87" s="33" t="s">
        <v>1497</v>
      </c>
      <c r="D87" s="33">
        <v>228</v>
      </c>
      <c r="E87" s="33">
        <v>3228</v>
      </c>
      <c r="F87" s="33" t="s">
        <v>1498</v>
      </c>
      <c r="G87" s="33" t="s">
        <v>1499</v>
      </c>
      <c r="H87" s="33" t="s">
        <v>1500</v>
      </c>
      <c r="I87" s="33" t="s">
        <v>1501</v>
      </c>
      <c r="J87" s="33" t="s">
        <v>780</v>
      </c>
      <c r="K87" s="33" t="s">
        <v>1502</v>
      </c>
      <c r="L87" s="33" t="s">
        <v>1503</v>
      </c>
    </row>
    <row r="88" spans="1:12" ht="12.75">
      <c r="A88" s="33" t="s">
        <v>1504</v>
      </c>
      <c r="B88" s="33" t="s">
        <v>1505</v>
      </c>
      <c r="C88" s="33" t="s">
        <v>1506</v>
      </c>
      <c r="D88" s="33">
        <v>774</v>
      </c>
      <c r="E88" s="33">
        <v>2774</v>
      </c>
      <c r="F88" s="33" t="s">
        <v>1507</v>
      </c>
      <c r="G88" s="33" t="s">
        <v>1508</v>
      </c>
      <c r="H88" s="33" t="s">
        <v>1509</v>
      </c>
      <c r="I88" s="33" t="s">
        <v>1510</v>
      </c>
      <c r="J88" s="33" t="s">
        <v>810</v>
      </c>
      <c r="K88" s="33" t="s">
        <v>1511</v>
      </c>
      <c r="L88" s="33" t="s">
        <v>1512</v>
      </c>
    </row>
    <row r="89" spans="1:12" ht="12.75">
      <c r="A89" s="33" t="s">
        <v>1513</v>
      </c>
      <c r="B89" s="33" t="s">
        <v>1514</v>
      </c>
      <c r="C89" s="33" t="s">
        <v>1515</v>
      </c>
      <c r="D89" s="33">
        <v>784</v>
      </c>
      <c r="E89" s="33">
        <v>2784</v>
      </c>
      <c r="F89" s="33" t="s">
        <v>1516</v>
      </c>
      <c r="G89" s="33" t="s">
        <v>1517</v>
      </c>
      <c r="H89" s="33" t="s">
        <v>1518</v>
      </c>
      <c r="I89" s="33" t="s">
        <v>1519</v>
      </c>
      <c r="J89" s="33" t="s">
        <v>810</v>
      </c>
      <c r="K89" s="33" t="s">
        <v>1520</v>
      </c>
      <c r="L89" s="33" t="s">
        <v>1521</v>
      </c>
    </row>
    <row r="90" spans="1:12" ht="12.75">
      <c r="A90" s="33" t="s">
        <v>1522</v>
      </c>
      <c r="B90" s="33" t="s">
        <v>1523</v>
      </c>
      <c r="C90" s="33" t="s">
        <v>1036</v>
      </c>
      <c r="D90" s="33">
        <v>435</v>
      </c>
      <c r="E90" s="33">
        <v>435</v>
      </c>
    </row>
    <row r="91" spans="1:12" ht="12.75">
      <c r="A91" s="33" t="s">
        <v>1524</v>
      </c>
      <c r="D91" s="33">
        <v>3002</v>
      </c>
    </row>
    <row r="92" spans="1:12" ht="12.75">
      <c r="A92" s="33" t="s">
        <v>1525</v>
      </c>
      <c r="B92" s="33" t="s">
        <v>1526</v>
      </c>
      <c r="C92" s="33" t="s">
        <v>1527</v>
      </c>
      <c r="D92" s="33">
        <v>305</v>
      </c>
      <c r="E92" s="33">
        <v>2305</v>
      </c>
      <c r="F92" s="33" t="s">
        <v>1528</v>
      </c>
      <c r="G92" s="33" t="s">
        <v>1529</v>
      </c>
      <c r="H92" s="33" t="s">
        <v>1530</v>
      </c>
      <c r="I92" s="33" t="s">
        <v>1531</v>
      </c>
      <c r="J92" s="33" t="s">
        <v>810</v>
      </c>
      <c r="K92" s="33" t="s">
        <v>1532</v>
      </c>
      <c r="L92" s="33" t="s">
        <v>1533</v>
      </c>
    </row>
    <row r="93" spans="1:12" ht="12.75">
      <c r="A93" s="33" t="s">
        <v>1534</v>
      </c>
      <c r="B93" s="33" t="s">
        <v>1535</v>
      </c>
      <c r="C93" s="33" t="s">
        <v>1536</v>
      </c>
      <c r="D93" s="33">
        <v>321</v>
      </c>
      <c r="E93" s="33">
        <v>4321</v>
      </c>
      <c r="F93" s="33" t="s">
        <v>1537</v>
      </c>
      <c r="G93" s="33" t="s">
        <v>1538</v>
      </c>
      <c r="H93" s="33" t="s">
        <v>1539</v>
      </c>
      <c r="I93" s="33" t="s">
        <v>1540</v>
      </c>
      <c r="J93" s="33" t="s">
        <v>790</v>
      </c>
      <c r="K93" s="33" t="s">
        <v>1541</v>
      </c>
      <c r="L93" s="33" t="s">
        <v>1542</v>
      </c>
    </row>
    <row r="94" spans="1:12" ht="12.75">
      <c r="A94" s="33" t="s">
        <v>1543</v>
      </c>
      <c r="B94" s="33" t="s">
        <v>1544</v>
      </c>
      <c r="C94" s="33" t="s">
        <v>1545</v>
      </c>
      <c r="D94" s="33">
        <v>304</v>
      </c>
      <c r="E94" s="33">
        <v>2304</v>
      </c>
      <c r="F94" s="33" t="s">
        <v>1546</v>
      </c>
      <c r="G94" s="33" t="s">
        <v>1547</v>
      </c>
      <c r="H94" s="33" t="s">
        <v>1548</v>
      </c>
      <c r="I94" s="33" t="s">
        <v>1549</v>
      </c>
      <c r="J94" s="33" t="s">
        <v>810</v>
      </c>
      <c r="K94" s="33" t="s">
        <v>1550</v>
      </c>
      <c r="L94" s="33" t="s">
        <v>1551</v>
      </c>
    </row>
    <row r="95" spans="1:12" ht="12.75">
      <c r="A95" s="33" t="s">
        <v>1552</v>
      </c>
      <c r="B95" s="33" t="s">
        <v>1553</v>
      </c>
      <c r="C95" s="33" t="s">
        <v>1554</v>
      </c>
      <c r="D95" s="33">
        <v>815</v>
      </c>
      <c r="E95" s="33">
        <v>4815</v>
      </c>
      <c r="F95" s="33" t="s">
        <v>1555</v>
      </c>
      <c r="G95" s="33" t="s">
        <v>1556</v>
      </c>
      <c r="H95" s="33" t="s">
        <v>1557</v>
      </c>
      <c r="I95" s="33" t="s">
        <v>1558</v>
      </c>
      <c r="J95" s="33" t="s">
        <v>790</v>
      </c>
      <c r="K95" s="33" t="s">
        <v>1559</v>
      </c>
      <c r="L95" s="33" t="s">
        <v>1560</v>
      </c>
    </row>
    <row r="96" spans="1:12" ht="12.75">
      <c r="A96" s="33" t="s">
        <v>1561</v>
      </c>
      <c r="B96" s="33" t="s">
        <v>1562</v>
      </c>
      <c r="C96" s="33" t="s">
        <v>1563</v>
      </c>
      <c r="D96" s="33">
        <v>247</v>
      </c>
      <c r="E96" s="33">
        <v>3247</v>
      </c>
      <c r="F96" s="33" t="s">
        <v>1564</v>
      </c>
      <c r="G96" s="33" t="s">
        <v>1565</v>
      </c>
      <c r="H96" s="33" t="s">
        <v>1566</v>
      </c>
      <c r="I96" s="33" t="s">
        <v>1567</v>
      </c>
      <c r="J96" s="33" t="s">
        <v>780</v>
      </c>
      <c r="K96" s="33" t="s">
        <v>1568</v>
      </c>
      <c r="L96" s="33" t="s">
        <v>1569</v>
      </c>
    </row>
    <row r="97" spans="1:12" ht="12.75">
      <c r="A97" s="33" t="s">
        <v>1570</v>
      </c>
      <c r="B97" s="33" t="s">
        <v>1571</v>
      </c>
      <c r="C97" s="33" t="s">
        <v>1572</v>
      </c>
      <c r="D97" s="33">
        <v>705</v>
      </c>
      <c r="E97" s="33">
        <v>3705</v>
      </c>
      <c r="F97" s="33" t="s">
        <v>1573</v>
      </c>
      <c r="G97" s="33" t="s">
        <v>1574</v>
      </c>
      <c r="H97" s="33" t="s">
        <v>1575</v>
      </c>
      <c r="I97" s="33" t="s">
        <v>1576</v>
      </c>
      <c r="J97" s="33" t="s">
        <v>780</v>
      </c>
      <c r="K97" s="33" t="s">
        <v>1577</v>
      </c>
      <c r="L97" s="33" t="s">
        <v>1578</v>
      </c>
    </row>
    <row r="98" spans="1:12" ht="12.75">
      <c r="A98" s="33" t="s">
        <v>1579</v>
      </c>
      <c r="B98" s="33" t="s">
        <v>1580</v>
      </c>
      <c r="C98" s="33" t="s">
        <v>1581</v>
      </c>
      <c r="D98" s="33">
        <v>360</v>
      </c>
      <c r="E98" s="33">
        <v>2360</v>
      </c>
      <c r="F98" s="33" t="s">
        <v>1582</v>
      </c>
      <c r="G98" s="33" t="s">
        <v>1583</v>
      </c>
      <c r="H98" s="33" t="s">
        <v>1584</v>
      </c>
      <c r="J98" s="33" t="s">
        <v>810</v>
      </c>
      <c r="L98" s="33" t="s">
        <v>1585</v>
      </c>
    </row>
    <row r="99" spans="1:12" ht="12.75">
      <c r="A99" s="33" t="s">
        <v>1586</v>
      </c>
      <c r="B99" s="33" t="s">
        <v>1587</v>
      </c>
      <c r="C99" s="33" t="s">
        <v>1588</v>
      </c>
      <c r="D99" s="33">
        <v>514</v>
      </c>
      <c r="E99" s="33">
        <v>2514</v>
      </c>
      <c r="F99" s="33" t="s">
        <v>1589</v>
      </c>
      <c r="G99" s="33" t="s">
        <v>1590</v>
      </c>
      <c r="H99" s="33" t="s">
        <v>1591</v>
      </c>
      <c r="I99" s="33" t="s">
        <v>1592</v>
      </c>
      <c r="J99" s="33" t="s">
        <v>810</v>
      </c>
      <c r="K99" s="33" t="s">
        <v>1593</v>
      </c>
      <c r="L99" s="33" t="s">
        <v>1594</v>
      </c>
    </row>
    <row r="100" spans="1:12" ht="12.75">
      <c r="A100" s="33" t="s">
        <v>1595</v>
      </c>
      <c r="B100" s="33" t="s">
        <v>1596</v>
      </c>
      <c r="C100" s="33" t="s">
        <v>1597</v>
      </c>
      <c r="D100" s="33">
        <v>211</v>
      </c>
      <c r="E100" s="33">
        <v>3211</v>
      </c>
      <c r="F100" s="33" t="s">
        <v>1598</v>
      </c>
      <c r="G100" s="33" t="s">
        <v>1599</v>
      </c>
      <c r="H100" s="33" t="s">
        <v>1600</v>
      </c>
      <c r="I100" s="33" t="s">
        <v>1601</v>
      </c>
      <c r="J100" s="33" t="s">
        <v>780</v>
      </c>
      <c r="K100" s="33" t="s">
        <v>1602</v>
      </c>
      <c r="L100" s="33" t="s">
        <v>1603</v>
      </c>
    </row>
    <row r="101" spans="1:12" ht="12.75">
      <c r="A101" s="33" t="s">
        <v>1604</v>
      </c>
      <c r="B101" s="33" t="s">
        <v>1605</v>
      </c>
      <c r="C101" s="33" t="s">
        <v>1606</v>
      </c>
      <c r="D101" s="33">
        <v>805</v>
      </c>
      <c r="E101" s="33">
        <v>2805</v>
      </c>
      <c r="F101" s="33" t="s">
        <v>1607</v>
      </c>
      <c r="G101" s="33" t="s">
        <v>1608</v>
      </c>
      <c r="H101" s="33" t="s">
        <v>1609</v>
      </c>
      <c r="I101" s="33" t="s">
        <v>1610</v>
      </c>
      <c r="J101" s="33" t="s">
        <v>810</v>
      </c>
      <c r="K101" s="33" t="s">
        <v>1611</v>
      </c>
      <c r="L101" s="33" t="s">
        <v>1612</v>
      </c>
    </row>
    <row r="102" spans="1:12" ht="12.75">
      <c r="A102" s="33" t="s">
        <v>1613</v>
      </c>
      <c r="B102" s="33" t="s">
        <v>1614</v>
      </c>
      <c r="C102" s="33" t="s">
        <v>1615</v>
      </c>
      <c r="D102" s="33">
        <v>783</v>
      </c>
      <c r="E102" s="33">
        <v>2783</v>
      </c>
      <c r="F102" s="33" t="s">
        <v>1616</v>
      </c>
      <c r="G102" s="33" t="s">
        <v>1617</v>
      </c>
      <c r="H102" s="33" t="s">
        <v>1618</v>
      </c>
      <c r="I102" s="33" t="s">
        <v>1619</v>
      </c>
      <c r="J102" s="33" t="s">
        <v>810</v>
      </c>
      <c r="K102" s="33" t="s">
        <v>1620</v>
      </c>
      <c r="L102" s="33" t="s">
        <v>1621</v>
      </c>
    </row>
    <row r="103" spans="1:12" ht="12.75">
      <c r="A103" s="33" t="s">
        <v>1622</v>
      </c>
      <c r="B103" s="33" t="s">
        <v>1623</v>
      </c>
      <c r="C103" s="33" t="s">
        <v>1624</v>
      </c>
      <c r="D103" s="33">
        <v>708</v>
      </c>
      <c r="E103" s="33">
        <v>3708</v>
      </c>
      <c r="F103" s="33" t="s">
        <v>1625</v>
      </c>
      <c r="G103" s="33" t="s">
        <v>1626</v>
      </c>
      <c r="H103" s="33" t="s">
        <v>1627</v>
      </c>
      <c r="I103" s="33" t="s">
        <v>1628</v>
      </c>
      <c r="J103" s="33" t="s">
        <v>780</v>
      </c>
      <c r="K103" s="33" t="s">
        <v>1629</v>
      </c>
      <c r="L103" s="33" t="s">
        <v>1630</v>
      </c>
    </row>
    <row r="104" spans="1:12" ht="12.75">
      <c r="A104" s="33" t="s">
        <v>1631</v>
      </c>
      <c r="B104" s="33" t="s">
        <v>1632</v>
      </c>
      <c r="C104" s="33" t="s">
        <v>1633</v>
      </c>
      <c r="D104" s="33">
        <v>108</v>
      </c>
      <c r="E104" s="33">
        <v>2108</v>
      </c>
      <c r="F104" s="33" t="s">
        <v>1634</v>
      </c>
      <c r="G104" s="33" t="s">
        <v>1635</v>
      </c>
      <c r="H104" s="33" t="s">
        <v>1636</v>
      </c>
      <c r="I104" s="33" t="s">
        <v>1637</v>
      </c>
      <c r="J104" s="33" t="s">
        <v>810</v>
      </c>
      <c r="K104" s="33" t="s">
        <v>1638</v>
      </c>
      <c r="L104" s="33" t="s">
        <v>1639</v>
      </c>
    </row>
    <row r="105" spans="1:12" ht="12.75">
      <c r="A105" s="33" t="s">
        <v>1640</v>
      </c>
      <c r="B105" s="33" t="s">
        <v>1641</v>
      </c>
      <c r="C105" s="33" t="s">
        <v>1642</v>
      </c>
      <c r="D105" s="33">
        <v>522</v>
      </c>
      <c r="E105" s="33">
        <v>3522</v>
      </c>
      <c r="F105" s="33" t="s">
        <v>1643</v>
      </c>
      <c r="G105" s="33" t="s">
        <v>1644</v>
      </c>
      <c r="H105" s="33" t="s">
        <v>1645</v>
      </c>
      <c r="I105" s="33" t="s">
        <v>1646</v>
      </c>
      <c r="J105" s="33" t="s">
        <v>780</v>
      </c>
      <c r="K105" s="33" t="s">
        <v>1647</v>
      </c>
      <c r="L105" s="33" t="s">
        <v>1648</v>
      </c>
    </row>
    <row r="106" spans="1:12" ht="12.75">
      <c r="A106" s="33" t="s">
        <v>1649</v>
      </c>
      <c r="B106" s="33" t="s">
        <v>1650</v>
      </c>
      <c r="C106" s="33" t="s">
        <v>1651</v>
      </c>
      <c r="D106" s="33">
        <v>209</v>
      </c>
      <c r="E106" s="33">
        <v>2209</v>
      </c>
      <c r="F106" s="33" t="s">
        <v>1652</v>
      </c>
      <c r="G106" s="33" t="s">
        <v>1653</v>
      </c>
      <c r="H106" s="33" t="s">
        <v>1654</v>
      </c>
      <c r="I106" s="33" t="s">
        <v>1655</v>
      </c>
      <c r="J106" s="33" t="s">
        <v>810</v>
      </c>
      <c r="K106" s="33" t="s">
        <v>1656</v>
      </c>
      <c r="L106" s="33" t="s">
        <v>1657</v>
      </c>
    </row>
    <row r="107" spans="1:12" ht="12.75">
      <c r="A107" s="33" t="s">
        <v>1658</v>
      </c>
      <c r="B107" s="33" t="s">
        <v>1659</v>
      </c>
      <c r="C107" s="33" t="s">
        <v>1660</v>
      </c>
      <c r="D107" s="33">
        <v>51</v>
      </c>
      <c r="E107" s="33">
        <v>2051</v>
      </c>
      <c r="F107" s="33" t="s">
        <v>1661</v>
      </c>
      <c r="G107" s="33" t="s">
        <v>1662</v>
      </c>
      <c r="H107" s="33" t="s">
        <v>1663</v>
      </c>
      <c r="I107" s="33" t="s">
        <v>1664</v>
      </c>
      <c r="J107" s="33" t="s">
        <v>810</v>
      </c>
      <c r="K107" s="33" t="s">
        <v>1665</v>
      </c>
      <c r="L107" s="33" t="s">
        <v>1666</v>
      </c>
    </row>
    <row r="108" spans="1:12" ht="12.75">
      <c r="A108" s="33" t="s">
        <v>1667</v>
      </c>
      <c r="B108" s="33" t="s">
        <v>1668</v>
      </c>
      <c r="C108" s="33" t="s">
        <v>1669</v>
      </c>
      <c r="D108" s="33">
        <v>336</v>
      </c>
      <c r="E108" s="33">
        <v>2336</v>
      </c>
      <c r="F108" s="33" t="s">
        <v>1670</v>
      </c>
      <c r="G108" s="33" t="s">
        <v>1671</v>
      </c>
      <c r="H108" s="33" t="s">
        <v>1672</v>
      </c>
      <c r="I108" s="33" t="s">
        <v>1673</v>
      </c>
      <c r="J108" s="33" t="s">
        <v>810</v>
      </c>
      <c r="K108" s="33" t="s">
        <v>1674</v>
      </c>
      <c r="L108" s="33" t="s">
        <v>1675</v>
      </c>
    </row>
    <row r="109" spans="1:12" ht="12.75">
      <c r="A109" s="33" t="s">
        <v>1676</v>
      </c>
      <c r="B109" s="33" t="s">
        <v>1677</v>
      </c>
      <c r="C109" s="33" t="s">
        <v>1678</v>
      </c>
      <c r="D109" s="33">
        <v>156</v>
      </c>
      <c r="E109" s="33">
        <v>2156</v>
      </c>
      <c r="F109" s="33" t="s">
        <v>1679</v>
      </c>
      <c r="G109" s="33" t="s">
        <v>1680</v>
      </c>
      <c r="H109" s="33" t="s">
        <v>1681</v>
      </c>
      <c r="I109" s="33" t="s">
        <v>1682</v>
      </c>
      <c r="J109" s="33" t="s">
        <v>810</v>
      </c>
      <c r="K109" s="33" t="s">
        <v>1683</v>
      </c>
      <c r="L109" s="33" t="s">
        <v>1684</v>
      </c>
    </row>
    <row r="110" spans="1:12" ht="12.75">
      <c r="A110" s="33" t="s">
        <v>1685</v>
      </c>
      <c r="B110" s="33" t="s">
        <v>1686</v>
      </c>
      <c r="C110" s="33" t="s">
        <v>1687</v>
      </c>
      <c r="D110" s="33">
        <v>951</v>
      </c>
      <c r="E110" s="33">
        <v>1951</v>
      </c>
      <c r="F110" s="33" t="s">
        <v>1688</v>
      </c>
      <c r="G110" s="33" t="s">
        <v>1689</v>
      </c>
      <c r="H110" s="33" t="s">
        <v>1690</v>
      </c>
      <c r="I110" s="33" t="s">
        <v>1691</v>
      </c>
      <c r="J110" s="33" t="s">
        <v>1692</v>
      </c>
      <c r="K110" s="33" t="s">
        <v>1693</v>
      </c>
      <c r="L110" s="33" t="s">
        <v>1694</v>
      </c>
    </row>
    <row r="111" spans="1:12" ht="12.75">
      <c r="A111" s="33" t="s">
        <v>1695</v>
      </c>
      <c r="B111" s="33" t="s">
        <v>1696</v>
      </c>
      <c r="C111" s="33" t="s">
        <v>1697</v>
      </c>
      <c r="D111" s="33">
        <v>505</v>
      </c>
      <c r="E111" s="33">
        <v>2505</v>
      </c>
      <c r="F111" s="33" t="s">
        <v>1698</v>
      </c>
      <c r="G111" s="33" t="s">
        <v>1699</v>
      </c>
      <c r="H111" s="33" t="s">
        <v>1700</v>
      </c>
      <c r="I111" s="33" t="s">
        <v>1701</v>
      </c>
      <c r="J111" s="33" t="s">
        <v>810</v>
      </c>
      <c r="K111" s="33" t="s">
        <v>1702</v>
      </c>
      <c r="L111" s="33" t="s">
        <v>1703</v>
      </c>
    </row>
    <row r="112" spans="1:12" ht="12.75">
      <c r="A112" s="33" t="s">
        <v>1704</v>
      </c>
      <c r="B112" s="33" t="s">
        <v>1705</v>
      </c>
      <c r="C112" s="33" t="s">
        <v>1706</v>
      </c>
      <c r="D112" s="33">
        <v>220</v>
      </c>
      <c r="E112" s="33">
        <v>2220</v>
      </c>
      <c r="F112" s="33" t="s">
        <v>1707</v>
      </c>
      <c r="G112" s="33" t="s">
        <v>1708</v>
      </c>
      <c r="H112" s="33" t="s">
        <v>1709</v>
      </c>
      <c r="I112" s="33" t="s">
        <v>1710</v>
      </c>
      <c r="J112" s="33" t="s">
        <v>810</v>
      </c>
      <c r="K112" s="33" t="s">
        <v>1711</v>
      </c>
      <c r="L112" s="33" t="s">
        <v>1712</v>
      </c>
    </row>
    <row r="113" spans="1:12" ht="12.75">
      <c r="A113" s="33" t="s">
        <v>1713</v>
      </c>
      <c r="B113" s="33" t="s">
        <v>1714</v>
      </c>
      <c r="C113" s="33" t="s">
        <v>1715</v>
      </c>
      <c r="D113" s="33">
        <v>1938</v>
      </c>
      <c r="E113" s="33">
        <v>1938</v>
      </c>
      <c r="F113" s="33" t="s">
        <v>1716</v>
      </c>
      <c r="G113" s="33" t="s">
        <v>1717</v>
      </c>
      <c r="H113" s="33" t="s">
        <v>1718</v>
      </c>
      <c r="I113" s="33" t="s">
        <v>1719</v>
      </c>
      <c r="J113" s="33" t="s">
        <v>1720</v>
      </c>
      <c r="K113" s="33" t="s">
        <v>1721</v>
      </c>
      <c r="L113" s="33" t="s">
        <v>1722</v>
      </c>
    </row>
    <row r="114" spans="1:12" ht="12.75">
      <c r="A114" s="33" t="s">
        <v>1723</v>
      </c>
      <c r="B114" s="33" t="s">
        <v>1724</v>
      </c>
      <c r="C114" s="33" t="s">
        <v>1725</v>
      </c>
      <c r="D114" s="33">
        <v>236</v>
      </c>
    </row>
    <row r="115" spans="1:12" ht="12.75">
      <c r="A115" s="33" t="s">
        <v>1726</v>
      </c>
      <c r="B115" s="33" t="s">
        <v>1727</v>
      </c>
      <c r="C115" s="33" t="s">
        <v>1728</v>
      </c>
      <c r="D115" s="33">
        <v>210</v>
      </c>
      <c r="E115" s="33">
        <v>2210</v>
      </c>
      <c r="F115" s="33" t="s">
        <v>1729</v>
      </c>
      <c r="G115" s="33" t="s">
        <v>1730</v>
      </c>
      <c r="H115" s="33" t="s">
        <v>1731</v>
      </c>
      <c r="I115" s="33" t="s">
        <v>1732</v>
      </c>
      <c r="J115" s="33" t="s">
        <v>810</v>
      </c>
      <c r="K115" s="33" t="s">
        <v>1733</v>
      </c>
      <c r="L115" s="33" t="s">
        <v>1734</v>
      </c>
    </row>
    <row r="116" spans="1:12" ht="12.75">
      <c r="A116" s="33" t="s">
        <v>1735</v>
      </c>
      <c r="B116" s="33" t="s">
        <v>1736</v>
      </c>
      <c r="C116" s="33" t="s">
        <v>1737</v>
      </c>
      <c r="D116" s="33">
        <v>484</v>
      </c>
    </row>
    <row r="117" spans="1:12" ht="12.75">
      <c r="A117" s="33" t="s">
        <v>1738</v>
      </c>
      <c r="B117" s="33" t="s">
        <v>1523</v>
      </c>
      <c r="C117" s="33" t="s">
        <v>1036</v>
      </c>
      <c r="D117" s="33">
        <v>985</v>
      </c>
      <c r="E117" s="33">
        <v>985</v>
      </c>
    </row>
    <row r="118" spans="1:12" ht="12.75">
      <c r="A118" s="33" t="s">
        <v>1739</v>
      </c>
      <c r="B118" s="33" t="s">
        <v>1740</v>
      </c>
      <c r="C118" s="33" t="s">
        <v>1425</v>
      </c>
      <c r="D118" s="33">
        <v>525</v>
      </c>
      <c r="E118" s="33">
        <v>1525</v>
      </c>
      <c r="F118" s="33" t="s">
        <v>1741</v>
      </c>
      <c r="G118" s="33" t="s">
        <v>1742</v>
      </c>
      <c r="H118" s="33" t="s">
        <v>1743</v>
      </c>
      <c r="I118" s="33" t="s">
        <v>1744</v>
      </c>
      <c r="J118" s="33" t="s">
        <v>1745</v>
      </c>
      <c r="K118" s="33" t="s">
        <v>1746</v>
      </c>
      <c r="L118" s="33" t="s">
        <v>1747</v>
      </c>
    </row>
    <row r="119" spans="1:12" ht="12.75">
      <c r="A119" s="33" t="s">
        <v>1748</v>
      </c>
      <c r="B119" s="33" t="s">
        <v>1749</v>
      </c>
      <c r="C119" s="33" t="s">
        <v>1750</v>
      </c>
      <c r="D119" s="33">
        <v>212</v>
      </c>
      <c r="E119" s="33">
        <v>2212</v>
      </c>
      <c r="F119" s="33" t="s">
        <v>1751</v>
      </c>
      <c r="G119" s="33" t="s">
        <v>1752</v>
      </c>
      <c r="H119" s="33" t="s">
        <v>1753</v>
      </c>
      <c r="I119" s="33" t="s">
        <v>1754</v>
      </c>
      <c r="J119" s="33" t="s">
        <v>1755</v>
      </c>
      <c r="K119" s="33" t="s">
        <v>1756</v>
      </c>
      <c r="L119" s="33" t="s">
        <v>990</v>
      </c>
    </row>
    <row r="120" spans="1:12" ht="12.75">
      <c r="A120" s="33" t="s">
        <v>1757</v>
      </c>
      <c r="B120" s="33" t="s">
        <v>1758</v>
      </c>
      <c r="C120" s="33" t="s">
        <v>1759</v>
      </c>
      <c r="D120" s="33">
        <v>556</v>
      </c>
      <c r="E120" s="33">
        <v>2556</v>
      </c>
      <c r="F120" s="33" t="s">
        <v>1760</v>
      </c>
      <c r="G120" s="33" t="s">
        <v>1761</v>
      </c>
      <c r="H120" s="33" t="s">
        <v>1762</v>
      </c>
      <c r="I120" s="33" t="s">
        <v>1763</v>
      </c>
      <c r="J120" s="33" t="s">
        <v>810</v>
      </c>
      <c r="K120" s="33" t="s">
        <v>1764</v>
      </c>
      <c r="L120" s="33" t="s">
        <v>1765</v>
      </c>
    </row>
    <row r="121" spans="1:12" ht="12.75">
      <c r="A121" s="33" t="s">
        <v>1766</v>
      </c>
      <c r="B121" s="33" t="s">
        <v>1767</v>
      </c>
      <c r="C121" s="33" t="s">
        <v>1768</v>
      </c>
      <c r="D121" s="33">
        <v>652</v>
      </c>
      <c r="E121" s="33">
        <v>2652</v>
      </c>
      <c r="F121" s="33" t="s">
        <v>1769</v>
      </c>
      <c r="G121" s="33" t="s">
        <v>1770</v>
      </c>
      <c r="H121" s="33" t="s">
        <v>1771</v>
      </c>
      <c r="I121" s="33" t="s">
        <v>1772</v>
      </c>
      <c r="J121" s="33" t="s">
        <v>810</v>
      </c>
      <c r="K121" s="33" t="s">
        <v>1773</v>
      </c>
      <c r="L121" s="33" t="s">
        <v>1774</v>
      </c>
    </row>
    <row r="122" spans="1:12" ht="12.75">
      <c r="A122" s="33" t="s">
        <v>1775</v>
      </c>
      <c r="B122" s="33" t="s">
        <v>1776</v>
      </c>
      <c r="C122" s="33" t="s">
        <v>1777</v>
      </c>
      <c r="D122" s="33">
        <v>757</v>
      </c>
      <c r="E122" s="33">
        <v>4757</v>
      </c>
      <c r="F122" s="33" t="s">
        <v>1778</v>
      </c>
      <c r="G122" s="33" t="s">
        <v>1779</v>
      </c>
      <c r="H122" s="33" t="s">
        <v>1780</v>
      </c>
      <c r="I122" s="33" t="s">
        <v>1781</v>
      </c>
      <c r="J122" s="33" t="s">
        <v>790</v>
      </c>
      <c r="K122" s="33" t="s">
        <v>1782</v>
      </c>
      <c r="L122" s="33" t="s">
        <v>1639</v>
      </c>
    </row>
    <row r="123" spans="1:12" ht="12.75">
      <c r="A123" s="33" t="s">
        <v>1783</v>
      </c>
      <c r="B123" s="33" t="s">
        <v>1784</v>
      </c>
      <c r="C123" s="33" t="s">
        <v>1785</v>
      </c>
      <c r="D123" s="33">
        <v>776</v>
      </c>
      <c r="E123" s="33">
        <v>2776</v>
      </c>
      <c r="F123" s="33" t="s">
        <v>1786</v>
      </c>
      <c r="G123" s="33" t="s">
        <v>1787</v>
      </c>
      <c r="H123" s="33" t="s">
        <v>1788</v>
      </c>
      <c r="I123" s="33" t="s">
        <v>1789</v>
      </c>
      <c r="J123" s="33" t="s">
        <v>810</v>
      </c>
      <c r="K123" s="33" t="s">
        <v>1790</v>
      </c>
      <c r="L123" s="33" t="s">
        <v>1791</v>
      </c>
    </row>
    <row r="124" spans="1:12" ht="12.75">
      <c r="A124" s="33" t="s">
        <v>1792</v>
      </c>
      <c r="B124" s="33" t="s">
        <v>1793</v>
      </c>
      <c r="C124" s="33" t="s">
        <v>1794</v>
      </c>
      <c r="D124" s="33">
        <v>557</v>
      </c>
      <c r="E124" s="33">
        <v>3557</v>
      </c>
      <c r="F124" s="33" t="s">
        <v>1795</v>
      </c>
      <c r="G124" s="33" t="s">
        <v>1796</v>
      </c>
      <c r="H124" s="33" t="s">
        <v>1797</v>
      </c>
      <c r="I124" s="33" t="s">
        <v>1798</v>
      </c>
      <c r="J124" s="33" t="s">
        <v>780</v>
      </c>
      <c r="K124" s="33" t="s">
        <v>1799</v>
      </c>
      <c r="L124" s="33" t="s">
        <v>1800</v>
      </c>
    </row>
    <row r="125" spans="1:12" ht="12.75">
      <c r="A125" s="33" t="s">
        <v>1801</v>
      </c>
      <c r="B125" s="33" t="s">
        <v>1035</v>
      </c>
      <c r="C125" s="33" t="s">
        <v>1036</v>
      </c>
      <c r="D125" s="33">
        <v>3007</v>
      </c>
      <c r="E125" s="33">
        <v>3007</v>
      </c>
      <c r="F125" s="33" t="s">
        <v>1802</v>
      </c>
      <c r="G125" s="33" t="s">
        <v>1803</v>
      </c>
      <c r="H125" s="33" t="s">
        <v>1804</v>
      </c>
      <c r="I125" s="33" t="s">
        <v>1805</v>
      </c>
      <c r="J125" s="33" t="s">
        <v>1806</v>
      </c>
      <c r="K125" s="33" t="s">
        <v>1807</v>
      </c>
      <c r="L125" s="33" t="s">
        <v>1808</v>
      </c>
    </row>
    <row r="126" spans="1:12" ht="12.75">
      <c r="A126" s="33" t="s">
        <v>1809</v>
      </c>
      <c r="B126" s="33" t="s">
        <v>1035</v>
      </c>
      <c r="C126" s="33" t="s">
        <v>1036</v>
      </c>
      <c r="D126" s="33">
        <v>3009</v>
      </c>
      <c r="E126" s="33">
        <v>3009</v>
      </c>
      <c r="F126" s="33" t="s">
        <v>1802</v>
      </c>
      <c r="G126" s="33" t="s">
        <v>1803</v>
      </c>
      <c r="H126" s="33" t="s">
        <v>1804</v>
      </c>
      <c r="I126" s="33" t="s">
        <v>1805</v>
      </c>
      <c r="J126" s="33" t="s">
        <v>1806</v>
      </c>
      <c r="K126" s="33" t="s">
        <v>1807</v>
      </c>
      <c r="L126" s="33" t="s">
        <v>1808</v>
      </c>
    </row>
    <row r="127" spans="1:12" ht="12.75">
      <c r="A127" s="33" t="s">
        <v>1810</v>
      </c>
      <c r="B127" s="33" t="s">
        <v>1035</v>
      </c>
      <c r="C127" s="33" t="s">
        <v>1036</v>
      </c>
      <c r="D127" s="33">
        <v>3008</v>
      </c>
      <c r="E127" s="33">
        <v>3008</v>
      </c>
      <c r="F127" s="33" t="s">
        <v>1802</v>
      </c>
      <c r="G127" s="33" t="s">
        <v>1803</v>
      </c>
      <c r="H127" s="33" t="s">
        <v>1804</v>
      </c>
      <c r="I127" s="33" t="s">
        <v>1805</v>
      </c>
      <c r="J127" s="33" t="s">
        <v>1806</v>
      </c>
      <c r="K127" s="33" t="s">
        <v>1807</v>
      </c>
      <c r="L127" s="33" t="s">
        <v>1808</v>
      </c>
    </row>
    <row r="128" spans="1:12" ht="12.75">
      <c r="A128" s="33" t="s">
        <v>1811</v>
      </c>
      <c r="B128" s="33" t="s">
        <v>1812</v>
      </c>
      <c r="C128" s="33" t="s">
        <v>1813</v>
      </c>
      <c r="D128" s="33">
        <v>115</v>
      </c>
      <c r="E128" s="33">
        <v>3115</v>
      </c>
      <c r="F128" s="33" t="s">
        <v>1814</v>
      </c>
      <c r="G128" s="33" t="s">
        <v>1815</v>
      </c>
      <c r="H128" s="33" t="s">
        <v>1816</v>
      </c>
      <c r="I128" s="33" t="s">
        <v>1817</v>
      </c>
      <c r="J128" s="33" t="s">
        <v>780</v>
      </c>
      <c r="K128" s="33" t="s">
        <v>1818</v>
      </c>
      <c r="L128" s="33" t="s">
        <v>1819</v>
      </c>
    </row>
    <row r="129" spans="1:12" ht="12.75">
      <c r="A129" s="33" t="s">
        <v>1820</v>
      </c>
      <c r="B129" s="33" t="s">
        <v>1821</v>
      </c>
      <c r="C129" s="33" t="s">
        <v>1822</v>
      </c>
      <c r="D129" s="33">
        <v>791</v>
      </c>
      <c r="E129" s="33">
        <v>2791</v>
      </c>
      <c r="F129" s="33" t="s">
        <v>1823</v>
      </c>
      <c r="G129" s="33" t="s">
        <v>1824</v>
      </c>
      <c r="H129" s="33" t="s">
        <v>1825</v>
      </c>
      <c r="I129" s="33" t="s">
        <v>1826</v>
      </c>
      <c r="J129" s="33" t="s">
        <v>810</v>
      </c>
      <c r="K129" s="33" t="s">
        <v>1827</v>
      </c>
      <c r="L129" s="33" t="s">
        <v>1828</v>
      </c>
    </row>
    <row r="130" spans="1:12" ht="12.75">
      <c r="A130" s="33" t="s">
        <v>1829</v>
      </c>
      <c r="B130" s="33" t="s">
        <v>1830</v>
      </c>
      <c r="C130" s="33" t="s">
        <v>1831</v>
      </c>
      <c r="D130" s="33">
        <v>792</v>
      </c>
      <c r="E130" s="33">
        <v>3792</v>
      </c>
      <c r="F130" s="33" t="s">
        <v>1832</v>
      </c>
      <c r="G130" s="33" t="s">
        <v>1833</v>
      </c>
      <c r="H130" s="33" t="s">
        <v>1834</v>
      </c>
      <c r="I130" s="33" t="s">
        <v>1835</v>
      </c>
      <c r="J130" s="33" t="s">
        <v>780</v>
      </c>
      <c r="K130" s="33" t="s">
        <v>1836</v>
      </c>
      <c r="L130" s="33" t="s">
        <v>1837</v>
      </c>
    </row>
    <row r="131" spans="1:12" ht="12.75">
      <c r="A131" s="33" t="s">
        <v>1838</v>
      </c>
      <c r="B131" s="33" t="s">
        <v>1839</v>
      </c>
      <c r="C131" s="33" t="s">
        <v>1840</v>
      </c>
      <c r="D131" s="33">
        <v>413</v>
      </c>
      <c r="E131" s="33">
        <v>3413</v>
      </c>
      <c r="F131" s="33" t="s">
        <v>1841</v>
      </c>
      <c r="G131" s="33" t="s">
        <v>1842</v>
      </c>
      <c r="H131" s="33" t="s">
        <v>1843</v>
      </c>
      <c r="I131" s="33" t="s">
        <v>1844</v>
      </c>
      <c r="J131" s="33" t="s">
        <v>780</v>
      </c>
      <c r="K131" s="33" t="s">
        <v>1845</v>
      </c>
      <c r="L131" s="33" t="s">
        <v>873</v>
      </c>
    </row>
    <row r="132" spans="1:12" ht="12.75">
      <c r="A132" s="33" t="s">
        <v>1846</v>
      </c>
      <c r="B132" s="33" t="s">
        <v>1847</v>
      </c>
      <c r="C132" s="33" t="s">
        <v>1848</v>
      </c>
      <c r="D132" s="33">
        <v>415</v>
      </c>
      <c r="E132" s="33">
        <v>2415</v>
      </c>
      <c r="F132" s="33" t="s">
        <v>1849</v>
      </c>
      <c r="G132" s="33" t="s">
        <v>1850</v>
      </c>
      <c r="H132" s="33" t="s">
        <v>1851</v>
      </c>
      <c r="I132" s="33" t="s">
        <v>1852</v>
      </c>
      <c r="J132" s="33" t="s">
        <v>810</v>
      </c>
      <c r="K132" s="33" t="s">
        <v>1853</v>
      </c>
      <c r="L132" s="33" t="s">
        <v>1854</v>
      </c>
    </row>
    <row r="133" spans="1:12" ht="12.75">
      <c r="A133" s="33" t="s">
        <v>1855</v>
      </c>
      <c r="B133" s="33" t="s">
        <v>1856</v>
      </c>
      <c r="C133" s="33" t="s">
        <v>1857</v>
      </c>
      <c r="D133" s="33">
        <v>246</v>
      </c>
      <c r="E133" s="33">
        <v>4246</v>
      </c>
      <c r="F133" s="33" t="s">
        <v>1858</v>
      </c>
      <c r="G133" s="33" t="s">
        <v>1859</v>
      </c>
      <c r="H133" s="33" t="s">
        <v>1860</v>
      </c>
      <c r="I133" s="33" t="s">
        <v>1861</v>
      </c>
      <c r="J133" s="33" t="s">
        <v>790</v>
      </c>
      <c r="K133" s="33" t="s">
        <v>1862</v>
      </c>
      <c r="L133" s="33" t="s">
        <v>873</v>
      </c>
    </row>
    <row r="134" spans="1:12" ht="12.75">
      <c r="A134" s="33" t="s">
        <v>1863</v>
      </c>
      <c r="B134" s="33" t="s">
        <v>1864</v>
      </c>
      <c r="C134" s="33" t="s">
        <v>1865</v>
      </c>
      <c r="D134" s="33">
        <v>796</v>
      </c>
      <c r="E134" s="33">
        <v>4796</v>
      </c>
      <c r="F134" s="33" t="s">
        <v>1866</v>
      </c>
      <c r="G134" s="33" t="s">
        <v>1867</v>
      </c>
      <c r="H134" s="33" t="s">
        <v>1868</v>
      </c>
      <c r="I134" s="33" t="s">
        <v>1869</v>
      </c>
      <c r="J134" s="33" t="s">
        <v>790</v>
      </c>
      <c r="K134" s="33" t="s">
        <v>1870</v>
      </c>
      <c r="L134" s="33" t="s">
        <v>1871</v>
      </c>
    </row>
    <row r="135" spans="1:12" ht="12.75">
      <c r="A135" s="33" t="s">
        <v>1872</v>
      </c>
      <c r="B135" s="33" t="s">
        <v>1873</v>
      </c>
      <c r="C135" s="33" t="s">
        <v>1874</v>
      </c>
      <c r="D135" s="33">
        <v>766</v>
      </c>
      <c r="E135" s="33">
        <v>2766</v>
      </c>
      <c r="F135" s="33" t="s">
        <v>1875</v>
      </c>
      <c r="G135" s="33" t="s">
        <v>1876</v>
      </c>
      <c r="H135" s="33" t="s">
        <v>1877</v>
      </c>
      <c r="I135" s="33" t="s">
        <v>1878</v>
      </c>
      <c r="J135" s="33" t="s">
        <v>810</v>
      </c>
      <c r="K135" s="33" t="s">
        <v>1879</v>
      </c>
      <c r="L135" s="33" t="s">
        <v>1880</v>
      </c>
    </row>
    <row r="136" spans="1:12" ht="12.75">
      <c r="A136" s="33" t="s">
        <v>1881</v>
      </c>
      <c r="B136" s="33" t="s">
        <v>1882</v>
      </c>
      <c r="C136" s="33" t="s">
        <v>1883</v>
      </c>
      <c r="D136" s="33">
        <v>769</v>
      </c>
      <c r="E136" s="33">
        <v>2769</v>
      </c>
      <c r="F136" s="33" t="s">
        <v>1884</v>
      </c>
      <c r="G136" s="33" t="s">
        <v>1885</v>
      </c>
      <c r="H136" s="33" t="s">
        <v>1886</v>
      </c>
      <c r="I136" s="33" t="s">
        <v>1887</v>
      </c>
      <c r="J136" s="33" t="s">
        <v>810</v>
      </c>
      <c r="K136" s="33" t="s">
        <v>1888</v>
      </c>
      <c r="L136" s="33" t="s">
        <v>1889</v>
      </c>
    </row>
    <row r="137" spans="1:12" ht="12.75">
      <c r="A137" s="33" t="s">
        <v>1890</v>
      </c>
      <c r="B137" s="33" t="s">
        <v>1891</v>
      </c>
      <c r="C137" s="33" t="s">
        <v>1892</v>
      </c>
      <c r="D137" s="33">
        <v>818</v>
      </c>
      <c r="E137" s="33">
        <v>3818</v>
      </c>
      <c r="F137" s="33" t="s">
        <v>1893</v>
      </c>
      <c r="G137" s="33" t="s">
        <v>1894</v>
      </c>
      <c r="H137" s="33" t="s">
        <v>1895</v>
      </c>
      <c r="I137" s="33" t="s">
        <v>1896</v>
      </c>
      <c r="J137" s="33" t="s">
        <v>780</v>
      </c>
      <c r="K137" s="33" t="s">
        <v>1897</v>
      </c>
      <c r="L137" s="33" t="s">
        <v>1898</v>
      </c>
    </row>
    <row r="138" spans="1:12" ht="12.75">
      <c r="A138" s="33" t="s">
        <v>1899</v>
      </c>
      <c r="B138" s="33" t="s">
        <v>1900</v>
      </c>
      <c r="C138" s="33" t="s">
        <v>1901</v>
      </c>
      <c r="D138" s="33">
        <v>502</v>
      </c>
      <c r="E138" s="33">
        <v>2502</v>
      </c>
      <c r="F138" s="33" t="s">
        <v>1902</v>
      </c>
      <c r="G138" s="33" t="s">
        <v>1903</v>
      </c>
      <c r="H138" s="33" t="s">
        <v>1904</v>
      </c>
      <c r="I138" s="33" t="s">
        <v>1905</v>
      </c>
      <c r="J138" s="33" t="s">
        <v>810</v>
      </c>
      <c r="K138" s="33" t="s">
        <v>1906</v>
      </c>
      <c r="L138" s="33" t="s">
        <v>1907</v>
      </c>
    </row>
    <row r="139" spans="1:12" ht="12.75">
      <c r="A139" s="33" t="s">
        <v>1908</v>
      </c>
      <c r="B139" s="33" t="s">
        <v>1909</v>
      </c>
      <c r="C139" s="33" t="s">
        <v>1910</v>
      </c>
      <c r="D139" s="33">
        <v>315</v>
      </c>
      <c r="E139" s="33">
        <v>4315</v>
      </c>
      <c r="F139" s="33" t="s">
        <v>1911</v>
      </c>
      <c r="G139" s="33" t="s">
        <v>1912</v>
      </c>
      <c r="H139" s="33" t="s">
        <v>1913</v>
      </c>
      <c r="I139" s="33" t="s">
        <v>1914</v>
      </c>
      <c r="J139" s="33" t="s">
        <v>790</v>
      </c>
      <c r="K139" s="33" t="s">
        <v>1915</v>
      </c>
      <c r="L139" s="33" t="s">
        <v>1916</v>
      </c>
    </row>
    <row r="140" spans="1:12" ht="12.75">
      <c r="A140" s="33" t="s">
        <v>1917</v>
      </c>
      <c r="B140" s="33" t="s">
        <v>1918</v>
      </c>
      <c r="C140" s="33" t="s">
        <v>1919</v>
      </c>
      <c r="D140" s="33">
        <v>812</v>
      </c>
      <c r="E140" s="33">
        <v>3812</v>
      </c>
      <c r="F140" s="33" t="s">
        <v>1920</v>
      </c>
      <c r="G140" s="33" t="s">
        <v>1921</v>
      </c>
      <c r="H140" s="33" t="s">
        <v>1922</v>
      </c>
      <c r="I140" s="33" t="s">
        <v>1923</v>
      </c>
      <c r="J140" s="33" t="s">
        <v>780</v>
      </c>
      <c r="K140" s="33" t="s">
        <v>1924</v>
      </c>
      <c r="L140" s="33" t="s">
        <v>1925</v>
      </c>
    </row>
    <row r="141" spans="1:12" ht="12.75">
      <c r="A141" s="33" t="s">
        <v>1926</v>
      </c>
      <c r="D141" s="33">
        <v>587</v>
      </c>
      <c r="E141" s="33">
        <v>1587</v>
      </c>
    </row>
    <row r="142" spans="1:12" ht="12.75">
      <c r="A142" s="33" t="s">
        <v>1927</v>
      </c>
      <c r="B142" s="33" t="s">
        <v>1928</v>
      </c>
      <c r="C142" s="33" t="s">
        <v>1929</v>
      </c>
      <c r="D142" s="33">
        <v>761</v>
      </c>
      <c r="E142" s="33">
        <v>2761</v>
      </c>
      <c r="F142" s="33" t="s">
        <v>1930</v>
      </c>
      <c r="G142" s="33" t="s">
        <v>1931</v>
      </c>
      <c r="H142" s="33" t="s">
        <v>1932</v>
      </c>
      <c r="I142" s="33" t="s">
        <v>1933</v>
      </c>
      <c r="J142" s="33" t="s">
        <v>810</v>
      </c>
      <c r="K142" s="33" t="s">
        <v>1934</v>
      </c>
      <c r="L142" s="33" t="s">
        <v>1935</v>
      </c>
    </row>
    <row r="143" spans="1:12" ht="12.75">
      <c r="A143" s="33" t="s">
        <v>1936</v>
      </c>
      <c r="B143" s="33" t="s">
        <v>1937</v>
      </c>
      <c r="C143" s="33" t="s">
        <v>1938</v>
      </c>
      <c r="D143" s="33">
        <v>749</v>
      </c>
      <c r="E143" s="33">
        <v>2749</v>
      </c>
      <c r="F143" s="33" t="s">
        <v>1939</v>
      </c>
      <c r="G143" s="33" t="s">
        <v>1940</v>
      </c>
      <c r="H143" s="33" t="s">
        <v>1941</v>
      </c>
      <c r="I143" s="33" t="s">
        <v>1942</v>
      </c>
      <c r="J143" s="33" t="s">
        <v>810</v>
      </c>
      <c r="K143" s="33" t="s">
        <v>1943</v>
      </c>
      <c r="L143" s="33" t="s">
        <v>1944</v>
      </c>
    </row>
    <row r="144" spans="1:12" ht="12.75">
      <c r="A144" s="33" t="s">
        <v>1945</v>
      </c>
      <c r="B144" s="33" t="s">
        <v>1946</v>
      </c>
      <c r="C144" s="33" t="s">
        <v>1947</v>
      </c>
      <c r="D144" s="33">
        <v>153</v>
      </c>
      <c r="E144" s="33">
        <v>2153</v>
      </c>
      <c r="F144" s="33" t="s">
        <v>1948</v>
      </c>
      <c r="G144" s="33" t="s">
        <v>1949</v>
      </c>
      <c r="H144" s="33" t="s">
        <v>1950</v>
      </c>
      <c r="I144" s="33" t="s">
        <v>1951</v>
      </c>
      <c r="J144" s="33" t="s">
        <v>810</v>
      </c>
      <c r="K144" s="33" t="s">
        <v>1952</v>
      </c>
      <c r="L144" s="33" t="s">
        <v>1953</v>
      </c>
    </row>
    <row r="145" spans="1:12" ht="12.75">
      <c r="A145" s="33" t="s">
        <v>1954</v>
      </c>
      <c r="B145" s="33" t="s">
        <v>1955</v>
      </c>
      <c r="C145" s="33" t="s">
        <v>1956</v>
      </c>
      <c r="D145" s="33">
        <v>152</v>
      </c>
      <c r="E145" s="33">
        <v>4152</v>
      </c>
      <c r="F145" s="33" t="s">
        <v>1957</v>
      </c>
      <c r="G145" s="33" t="s">
        <v>1958</v>
      </c>
      <c r="H145" s="33" t="s">
        <v>1959</v>
      </c>
      <c r="I145" s="33" t="s">
        <v>1960</v>
      </c>
      <c r="J145" s="33" t="s">
        <v>790</v>
      </c>
      <c r="K145" s="33" t="s">
        <v>1961</v>
      </c>
      <c r="L145" s="33" t="s">
        <v>1962</v>
      </c>
    </row>
    <row r="146" spans="1:12" ht="12.75">
      <c r="A146" s="33" t="s">
        <v>1963</v>
      </c>
      <c r="B146" s="33" t="s">
        <v>1964</v>
      </c>
      <c r="C146" s="33" t="s">
        <v>1965</v>
      </c>
      <c r="D146" s="33">
        <v>601</v>
      </c>
      <c r="E146" s="33">
        <v>2601</v>
      </c>
      <c r="F146" s="33" t="s">
        <v>1966</v>
      </c>
      <c r="G146" s="33" t="s">
        <v>1967</v>
      </c>
      <c r="H146" s="33" t="s">
        <v>1968</v>
      </c>
      <c r="I146" s="33" t="s">
        <v>1969</v>
      </c>
      <c r="J146" s="33" t="s">
        <v>810</v>
      </c>
      <c r="K146" s="33" t="s">
        <v>1970</v>
      </c>
      <c r="L146" s="33" t="s">
        <v>1971</v>
      </c>
    </row>
    <row r="147" spans="1:12" ht="12.75">
      <c r="A147" s="33" t="s">
        <v>1972</v>
      </c>
      <c r="D147" s="33">
        <v>3003</v>
      </c>
      <c r="E147" s="33">
        <v>3003</v>
      </c>
    </row>
    <row r="148" spans="1:12" ht="12.75">
      <c r="A148" s="33" t="s">
        <v>1973</v>
      </c>
      <c r="D148" s="33">
        <v>3004</v>
      </c>
      <c r="E148" s="33">
        <v>3004</v>
      </c>
    </row>
    <row r="149" spans="1:12" ht="12.75">
      <c r="A149" s="33" t="s">
        <v>1974</v>
      </c>
      <c r="B149" s="33" t="s">
        <v>1975</v>
      </c>
      <c r="C149" s="33" t="s">
        <v>1976</v>
      </c>
      <c r="D149" s="33">
        <v>125</v>
      </c>
      <c r="E149" s="33">
        <v>4125</v>
      </c>
      <c r="F149" s="33" t="s">
        <v>1977</v>
      </c>
      <c r="G149" s="33" t="s">
        <v>1978</v>
      </c>
      <c r="H149" s="33" t="s">
        <v>1979</v>
      </c>
      <c r="I149" s="33" t="s">
        <v>1980</v>
      </c>
      <c r="J149" s="33" t="s">
        <v>790</v>
      </c>
      <c r="K149" s="33" t="s">
        <v>1981</v>
      </c>
      <c r="L149" s="33" t="s">
        <v>1594</v>
      </c>
    </row>
    <row r="150" spans="1:12" ht="12.75">
      <c r="A150" s="33" t="s">
        <v>1982</v>
      </c>
      <c r="B150" s="33" t="s">
        <v>1983</v>
      </c>
      <c r="C150" s="33" t="s">
        <v>1984</v>
      </c>
      <c r="D150" s="33">
        <v>159</v>
      </c>
      <c r="E150" s="33">
        <v>2159</v>
      </c>
      <c r="F150" s="33" t="s">
        <v>1985</v>
      </c>
      <c r="G150" s="33" t="s">
        <v>1986</v>
      </c>
      <c r="H150" s="33" t="s">
        <v>1987</v>
      </c>
      <c r="I150" s="33" t="s">
        <v>1988</v>
      </c>
      <c r="J150" s="33" t="s">
        <v>810</v>
      </c>
      <c r="K150" s="33" t="s">
        <v>1989</v>
      </c>
      <c r="L150" s="33" t="s">
        <v>1990</v>
      </c>
    </row>
    <row r="151" spans="1:12" ht="12.75">
      <c r="A151" s="33" t="s">
        <v>1991</v>
      </c>
      <c r="B151" s="33" t="s">
        <v>1992</v>
      </c>
      <c r="C151" s="33" t="s">
        <v>1993</v>
      </c>
      <c r="D151" s="33">
        <v>562</v>
      </c>
      <c r="E151" s="33">
        <v>3562</v>
      </c>
      <c r="F151" s="33" t="s">
        <v>1994</v>
      </c>
      <c r="G151" s="33" t="s">
        <v>1995</v>
      </c>
      <c r="H151" s="33" t="s">
        <v>1996</v>
      </c>
      <c r="I151" s="33" t="s">
        <v>1997</v>
      </c>
      <c r="J151" s="33" t="s">
        <v>780</v>
      </c>
      <c r="K151" s="33" t="s">
        <v>1998</v>
      </c>
      <c r="L151" s="33" t="s">
        <v>1999</v>
      </c>
    </row>
    <row r="152" spans="1:12" ht="12.75">
      <c r="A152" s="33" t="s">
        <v>2000</v>
      </c>
      <c r="B152" s="33" t="s">
        <v>2001</v>
      </c>
      <c r="C152" s="33" t="s">
        <v>2002</v>
      </c>
      <c r="D152" s="33">
        <v>965</v>
      </c>
      <c r="E152" s="33">
        <v>1965</v>
      </c>
      <c r="F152" s="33" t="s">
        <v>2003</v>
      </c>
      <c r="G152" s="33" t="s">
        <v>2004</v>
      </c>
      <c r="H152" s="33" t="s">
        <v>2005</v>
      </c>
      <c r="I152" s="33" t="s">
        <v>2006</v>
      </c>
      <c r="J152" s="33" t="s">
        <v>2007</v>
      </c>
      <c r="L152" s="33" t="s">
        <v>2008</v>
      </c>
    </row>
    <row r="153" spans="1:12" ht="12.75">
      <c r="A153" s="33" t="s">
        <v>2009</v>
      </c>
      <c r="B153" s="33" t="s">
        <v>2010</v>
      </c>
      <c r="C153" s="33" t="s">
        <v>2011</v>
      </c>
      <c r="D153" s="33">
        <v>201</v>
      </c>
      <c r="E153" s="33">
        <v>4201</v>
      </c>
      <c r="F153" s="33" t="s">
        <v>2012</v>
      </c>
      <c r="G153" s="33" t="s">
        <v>2013</v>
      </c>
      <c r="H153" s="33" t="s">
        <v>2014</v>
      </c>
      <c r="I153" s="33" t="s">
        <v>2015</v>
      </c>
      <c r="J153" s="33" t="s">
        <v>790</v>
      </c>
      <c r="K153" s="33" t="s">
        <v>2016</v>
      </c>
      <c r="L153" s="33" t="s">
        <v>2017</v>
      </c>
    </row>
    <row r="154" spans="1:12" ht="12.75">
      <c r="A154" s="33" t="s">
        <v>2018</v>
      </c>
      <c r="B154" s="33" t="s">
        <v>2019</v>
      </c>
      <c r="C154" s="33" t="s">
        <v>2020</v>
      </c>
      <c r="D154" s="33">
        <v>105</v>
      </c>
      <c r="E154" s="33">
        <v>3105</v>
      </c>
      <c r="F154" s="33" t="s">
        <v>2021</v>
      </c>
      <c r="G154" s="33" t="s">
        <v>2022</v>
      </c>
      <c r="H154" s="33" t="s">
        <v>2023</v>
      </c>
      <c r="I154" s="33" t="s">
        <v>2024</v>
      </c>
      <c r="J154" s="33" t="s">
        <v>780</v>
      </c>
      <c r="K154" s="33" t="s">
        <v>2025</v>
      </c>
      <c r="L154" s="33" t="s">
        <v>2026</v>
      </c>
    </row>
    <row r="155" spans="1:12" ht="12.75">
      <c r="A155" s="33" t="s">
        <v>2027</v>
      </c>
      <c r="B155" s="33" t="s">
        <v>2028</v>
      </c>
      <c r="C155" s="33" t="s">
        <v>2029</v>
      </c>
      <c r="D155" s="33">
        <v>227</v>
      </c>
      <c r="E155" s="33">
        <v>2227</v>
      </c>
      <c r="F155" s="33" t="s">
        <v>2030</v>
      </c>
      <c r="G155" s="33" t="s">
        <v>2031</v>
      </c>
      <c r="H155" s="33" t="s">
        <v>2032</v>
      </c>
      <c r="I155" s="33" t="s">
        <v>2033</v>
      </c>
      <c r="J155" s="33" t="s">
        <v>810</v>
      </c>
      <c r="K155" s="33" t="s">
        <v>2034</v>
      </c>
      <c r="L155" s="33" t="s">
        <v>2035</v>
      </c>
    </row>
    <row r="156" spans="1:12" ht="12.75">
      <c r="A156" s="33" t="s">
        <v>2036</v>
      </c>
      <c r="B156" s="33" t="s">
        <v>2037</v>
      </c>
      <c r="C156" s="33" t="s">
        <v>2038</v>
      </c>
      <c r="D156" s="33">
        <v>237</v>
      </c>
      <c r="E156" s="33">
        <v>3237</v>
      </c>
      <c r="F156" s="33" t="s">
        <v>2039</v>
      </c>
      <c r="G156" s="33" t="s">
        <v>2040</v>
      </c>
      <c r="H156" s="33" t="s">
        <v>2041</v>
      </c>
      <c r="I156" s="33" t="s">
        <v>2042</v>
      </c>
      <c r="J156" s="33" t="s">
        <v>780</v>
      </c>
      <c r="K156" s="33" t="s">
        <v>2043</v>
      </c>
      <c r="L156" s="33" t="s">
        <v>1053</v>
      </c>
    </row>
    <row r="157" spans="1:12" ht="12.75">
      <c r="A157" s="33" t="s">
        <v>2044</v>
      </c>
      <c r="B157" s="33" t="s">
        <v>2045</v>
      </c>
      <c r="C157" s="33" t="s">
        <v>2046</v>
      </c>
      <c r="D157" s="33">
        <v>157</v>
      </c>
      <c r="E157" s="33">
        <v>3157</v>
      </c>
      <c r="F157" s="33" t="s">
        <v>2047</v>
      </c>
      <c r="G157" s="33" t="s">
        <v>2048</v>
      </c>
      <c r="H157" s="33" t="s">
        <v>2049</v>
      </c>
      <c r="I157" s="33" t="s">
        <v>2050</v>
      </c>
      <c r="J157" s="33" t="s">
        <v>780</v>
      </c>
      <c r="K157" s="33" t="s">
        <v>2051</v>
      </c>
      <c r="L157" s="33" t="s">
        <v>792</v>
      </c>
    </row>
    <row r="158" spans="1:12" ht="12.75">
      <c r="A158" s="33" t="s">
        <v>2052</v>
      </c>
      <c r="B158" s="33" t="s">
        <v>2053</v>
      </c>
      <c r="C158" s="33" t="s">
        <v>2054</v>
      </c>
      <c r="D158" s="33">
        <v>773</v>
      </c>
      <c r="E158" s="33">
        <v>2773</v>
      </c>
      <c r="F158" s="33" t="s">
        <v>2055</v>
      </c>
      <c r="G158" s="33" t="s">
        <v>2056</v>
      </c>
      <c r="H158" s="33" t="s">
        <v>2057</v>
      </c>
      <c r="I158" s="33" t="s">
        <v>2058</v>
      </c>
      <c r="J158" s="33" t="s">
        <v>810</v>
      </c>
      <c r="K158" s="33" t="s">
        <v>2059</v>
      </c>
      <c r="L158" s="33" t="s">
        <v>2060</v>
      </c>
    </row>
    <row r="159" spans="1:12" ht="12.75">
      <c r="A159" s="33" t="s">
        <v>2061</v>
      </c>
      <c r="B159" s="33" t="s">
        <v>2062</v>
      </c>
      <c r="C159" s="33" t="s">
        <v>2063</v>
      </c>
      <c r="D159" s="33">
        <v>819</v>
      </c>
      <c r="E159" s="33">
        <v>2819</v>
      </c>
      <c r="F159" s="33" t="s">
        <v>2064</v>
      </c>
      <c r="G159" s="33" t="s">
        <v>2065</v>
      </c>
      <c r="H159" s="33" t="s">
        <v>2066</v>
      </c>
      <c r="I159" s="33" t="s">
        <v>2067</v>
      </c>
      <c r="J159" s="33" t="s">
        <v>810</v>
      </c>
      <c r="K159" s="33" t="s">
        <v>2068</v>
      </c>
      <c r="L159" s="33" t="s">
        <v>2069</v>
      </c>
    </row>
    <row r="160" spans="1:12" ht="12.75">
      <c r="A160" s="33" t="s">
        <v>2070</v>
      </c>
      <c r="B160" s="33" t="s">
        <v>2071</v>
      </c>
      <c r="C160" s="33" t="s">
        <v>2072</v>
      </c>
      <c r="D160" s="33">
        <v>916</v>
      </c>
      <c r="E160" s="33">
        <v>1916</v>
      </c>
      <c r="F160" s="33" t="s">
        <v>2073</v>
      </c>
      <c r="G160" s="33" t="s">
        <v>2074</v>
      </c>
      <c r="H160" s="33" t="s">
        <v>2075</v>
      </c>
      <c r="I160" s="33" t="s">
        <v>2076</v>
      </c>
      <c r="J160" s="33" t="s">
        <v>2077</v>
      </c>
      <c r="K160" s="33" t="s">
        <v>2078</v>
      </c>
      <c r="L160" s="33" t="s">
        <v>2079</v>
      </c>
    </row>
    <row r="161" spans="1:12" ht="12.75">
      <c r="A161" s="33" t="s">
        <v>2080</v>
      </c>
      <c r="B161" s="33" t="s">
        <v>2081</v>
      </c>
      <c r="C161" s="33" t="s">
        <v>2082</v>
      </c>
      <c r="D161" s="33">
        <v>795</v>
      </c>
      <c r="E161" s="33">
        <v>2795</v>
      </c>
      <c r="F161" s="33" t="s">
        <v>2083</v>
      </c>
      <c r="G161" s="33" t="s">
        <v>2084</v>
      </c>
      <c r="H161" s="33" t="s">
        <v>2085</v>
      </c>
      <c r="I161" s="33" t="s">
        <v>2086</v>
      </c>
      <c r="J161" s="33" t="s">
        <v>810</v>
      </c>
      <c r="K161" s="33" t="s">
        <v>2087</v>
      </c>
      <c r="L161" s="33" t="s">
        <v>2088</v>
      </c>
    </row>
    <row r="162" spans="1:12" ht="12.75">
      <c r="A162" s="33" t="s">
        <v>2089</v>
      </c>
      <c r="B162" s="33" t="s">
        <v>2090</v>
      </c>
      <c r="C162" s="33" t="s">
        <v>2091</v>
      </c>
      <c r="D162" s="33">
        <v>230</v>
      </c>
      <c r="E162" s="33">
        <v>4230</v>
      </c>
      <c r="F162" s="33" t="s">
        <v>2092</v>
      </c>
      <c r="G162" s="33" t="s">
        <v>2093</v>
      </c>
      <c r="H162" s="33" t="s">
        <v>2094</v>
      </c>
      <c r="I162" s="33" t="s">
        <v>2095</v>
      </c>
      <c r="J162" s="33" t="s">
        <v>790</v>
      </c>
      <c r="K162" s="33" t="s">
        <v>2096</v>
      </c>
      <c r="L162" s="33" t="s">
        <v>2097</v>
      </c>
    </row>
    <row r="163" spans="1:12" ht="12.75">
      <c r="A163" s="33" t="s">
        <v>2098</v>
      </c>
      <c r="B163" s="33" t="s">
        <v>2099</v>
      </c>
      <c r="C163" s="33" t="s">
        <v>2100</v>
      </c>
      <c r="D163" s="33">
        <v>707</v>
      </c>
      <c r="E163" s="33">
        <v>3707</v>
      </c>
      <c r="F163" s="33" t="s">
        <v>2101</v>
      </c>
      <c r="G163" s="33" t="s">
        <v>2102</v>
      </c>
      <c r="H163" s="33" t="s">
        <v>2103</v>
      </c>
      <c r="I163" s="33" t="s">
        <v>2104</v>
      </c>
      <c r="J163" s="33" t="s">
        <v>780</v>
      </c>
      <c r="K163" s="33" t="s">
        <v>2105</v>
      </c>
      <c r="L163" s="33" t="s">
        <v>1639</v>
      </c>
    </row>
    <row r="164" spans="1:12" ht="12.75">
      <c r="A164" s="33" t="s">
        <v>2106</v>
      </c>
      <c r="B164" s="33" t="s">
        <v>2107</v>
      </c>
      <c r="C164" s="33" t="s">
        <v>2108</v>
      </c>
      <c r="D164" s="33">
        <v>771</v>
      </c>
      <c r="E164" s="33">
        <v>2771</v>
      </c>
      <c r="F164" s="33" t="s">
        <v>2109</v>
      </c>
      <c r="G164" s="33" t="s">
        <v>2110</v>
      </c>
      <c r="H164" s="33" t="s">
        <v>2111</v>
      </c>
      <c r="I164" s="33" t="s">
        <v>2112</v>
      </c>
      <c r="J164" s="33" t="s">
        <v>810</v>
      </c>
      <c r="K164" s="33" t="s">
        <v>2113</v>
      </c>
      <c r="L164" s="33" t="s">
        <v>2114</v>
      </c>
    </row>
    <row r="165" spans="1:12" ht="12.75">
      <c r="A165" s="33" t="s">
        <v>2115</v>
      </c>
      <c r="B165" s="33" t="s">
        <v>2116</v>
      </c>
      <c r="C165" s="33" t="s">
        <v>2117</v>
      </c>
      <c r="D165" s="33">
        <v>158</v>
      </c>
      <c r="E165" s="33">
        <v>2158</v>
      </c>
      <c r="F165" s="33" t="s">
        <v>2118</v>
      </c>
      <c r="G165" s="33" t="s">
        <v>2119</v>
      </c>
      <c r="H165" s="33" t="s">
        <v>2120</v>
      </c>
      <c r="I165" s="33" t="s">
        <v>2121</v>
      </c>
      <c r="J165" s="33" t="s">
        <v>810</v>
      </c>
      <c r="K165" s="33" t="s">
        <v>2122</v>
      </c>
      <c r="L165" s="33" t="s">
        <v>2123</v>
      </c>
    </row>
    <row r="166" spans="1:12" ht="12.75">
      <c r="A166" s="33" t="s">
        <v>2124</v>
      </c>
      <c r="B166" s="33" t="s">
        <v>2125</v>
      </c>
      <c r="C166" s="33" t="s">
        <v>2126</v>
      </c>
      <c r="D166" s="33">
        <v>155</v>
      </c>
      <c r="E166" s="33">
        <v>3155</v>
      </c>
      <c r="F166" s="33" t="s">
        <v>2127</v>
      </c>
      <c r="G166" s="33" t="s">
        <v>2128</v>
      </c>
      <c r="H166" s="33" t="s">
        <v>2129</v>
      </c>
      <c r="I166" s="33" t="s">
        <v>2130</v>
      </c>
      <c r="J166" s="33" t="s">
        <v>780</v>
      </c>
      <c r="K166" s="33" t="s">
        <v>2131</v>
      </c>
      <c r="L166" s="33" t="s">
        <v>2132</v>
      </c>
    </row>
    <row r="167" spans="1:12" ht="12.75">
      <c r="A167" s="33" t="s">
        <v>2133</v>
      </c>
      <c r="B167" s="33" t="s">
        <v>2134</v>
      </c>
      <c r="C167" s="33" t="s">
        <v>2135</v>
      </c>
      <c r="D167" s="33">
        <v>307</v>
      </c>
      <c r="E167" s="33">
        <v>2307</v>
      </c>
      <c r="F167" s="33" t="s">
        <v>2136</v>
      </c>
      <c r="G167" s="33" t="s">
        <v>2137</v>
      </c>
      <c r="H167" s="33" t="s">
        <v>2138</v>
      </c>
      <c r="I167" s="33" t="s">
        <v>2139</v>
      </c>
      <c r="J167" s="33" t="s">
        <v>810</v>
      </c>
      <c r="K167" s="33" t="s">
        <v>2140</v>
      </c>
      <c r="L167" s="33" t="s">
        <v>2141</v>
      </c>
    </row>
    <row r="168" spans="1:12" ht="12.75">
      <c r="A168" s="33" t="s">
        <v>2142</v>
      </c>
      <c r="B168" s="33" t="s">
        <v>2143</v>
      </c>
      <c r="C168" s="33" t="s">
        <v>2144</v>
      </c>
      <c r="D168" s="33">
        <v>794</v>
      </c>
      <c r="E168" s="33">
        <v>2794</v>
      </c>
      <c r="F168" s="33" t="s">
        <v>2145</v>
      </c>
      <c r="G168" s="33" t="s">
        <v>2146</v>
      </c>
      <c r="H168" s="33" t="s">
        <v>2147</v>
      </c>
      <c r="I168" s="33" t="s">
        <v>2148</v>
      </c>
      <c r="J168" s="33" t="s">
        <v>810</v>
      </c>
      <c r="K168" s="33" t="s">
        <v>2149</v>
      </c>
      <c r="L168" s="33" t="s">
        <v>2150</v>
      </c>
    </row>
    <row r="169" spans="1:12" ht="12.75">
      <c r="A169" s="33" t="s">
        <v>2151</v>
      </c>
      <c r="B169" s="33" t="s">
        <v>2152</v>
      </c>
      <c r="C169" s="33" t="s">
        <v>2153</v>
      </c>
      <c r="D169" s="33">
        <v>555</v>
      </c>
      <c r="E169" s="33">
        <v>2555</v>
      </c>
      <c r="F169" s="33" t="s">
        <v>2154</v>
      </c>
      <c r="G169" s="33" t="s">
        <v>2155</v>
      </c>
      <c r="H169" s="33" t="s">
        <v>2156</v>
      </c>
      <c r="I169" s="33" t="s">
        <v>2157</v>
      </c>
      <c r="J169" s="33" t="s">
        <v>810</v>
      </c>
      <c r="K169" s="33" t="s">
        <v>2158</v>
      </c>
      <c r="L169" s="33" t="s">
        <v>2159</v>
      </c>
    </row>
    <row r="170" spans="1:12" ht="12.75">
      <c r="A170" s="33" t="s">
        <v>2160</v>
      </c>
      <c r="B170" s="33" t="s">
        <v>2161</v>
      </c>
      <c r="C170" s="33" t="s">
        <v>2162</v>
      </c>
      <c r="D170" s="33">
        <v>110</v>
      </c>
      <c r="E170" s="33">
        <v>2110</v>
      </c>
      <c r="F170" s="33" t="s">
        <v>2163</v>
      </c>
      <c r="G170" s="33" t="s">
        <v>2164</v>
      </c>
      <c r="H170" s="33" t="s">
        <v>2165</v>
      </c>
      <c r="I170" s="33" t="s">
        <v>2166</v>
      </c>
      <c r="J170" s="33" t="s">
        <v>810</v>
      </c>
      <c r="K170" s="33" t="s">
        <v>2167</v>
      </c>
      <c r="L170" s="33" t="s">
        <v>2168</v>
      </c>
    </row>
    <row r="171" spans="1:12" ht="12.75">
      <c r="A171" s="33" t="s">
        <v>2169</v>
      </c>
      <c r="B171" s="33" t="s">
        <v>2170</v>
      </c>
      <c r="C171" s="33" t="s">
        <v>2171</v>
      </c>
      <c r="D171" s="33">
        <v>779</v>
      </c>
      <c r="E171" s="33">
        <v>2779</v>
      </c>
      <c r="F171" s="33" t="s">
        <v>2172</v>
      </c>
      <c r="G171" s="33" t="s">
        <v>2173</v>
      </c>
      <c r="H171" s="33" t="s">
        <v>2174</v>
      </c>
      <c r="I171" s="33" t="s">
        <v>2175</v>
      </c>
      <c r="J171" s="33" t="s">
        <v>810</v>
      </c>
      <c r="K171" s="33" t="s">
        <v>2176</v>
      </c>
      <c r="L171" s="33" t="s">
        <v>792</v>
      </c>
    </row>
    <row r="172" spans="1:12" ht="12.75">
      <c r="A172" s="33" t="s">
        <v>2177</v>
      </c>
      <c r="B172" s="33" t="s">
        <v>2178</v>
      </c>
      <c r="C172" s="33" t="s">
        <v>2179</v>
      </c>
      <c r="D172" s="33">
        <v>104</v>
      </c>
      <c r="E172" s="33">
        <v>4104</v>
      </c>
      <c r="F172" s="33" t="s">
        <v>2180</v>
      </c>
      <c r="G172" s="33" t="s">
        <v>2181</v>
      </c>
      <c r="H172" s="33" t="s">
        <v>2182</v>
      </c>
      <c r="I172" s="33" t="s">
        <v>2183</v>
      </c>
      <c r="J172" s="33" t="s">
        <v>790</v>
      </c>
      <c r="K172" s="33" t="s">
        <v>2184</v>
      </c>
      <c r="L172" s="33" t="s">
        <v>2185</v>
      </c>
    </row>
    <row r="173" spans="1:12" ht="12.75">
      <c r="A173" s="33" t="s">
        <v>2186</v>
      </c>
      <c r="B173" s="33" t="s">
        <v>2187</v>
      </c>
      <c r="C173" s="33" t="s">
        <v>2188</v>
      </c>
      <c r="D173" s="33">
        <v>565</v>
      </c>
      <c r="E173" s="33">
        <v>2565</v>
      </c>
      <c r="F173" s="33" t="s">
        <v>2189</v>
      </c>
      <c r="G173" s="33" t="s">
        <v>2190</v>
      </c>
      <c r="H173" s="33" t="s">
        <v>2191</v>
      </c>
      <c r="I173" s="33" t="s">
        <v>2192</v>
      </c>
      <c r="J173" s="33" t="s">
        <v>810</v>
      </c>
      <c r="K173" s="33" t="s">
        <v>2193</v>
      </c>
      <c r="L173" s="33" t="s">
        <v>2194</v>
      </c>
    </row>
    <row r="174" spans="1:12" ht="12.75">
      <c r="A174" s="33" t="s">
        <v>2195</v>
      </c>
      <c r="B174" s="33" t="s">
        <v>2196</v>
      </c>
      <c r="C174" s="33" t="s">
        <v>1027</v>
      </c>
      <c r="D174" s="33">
        <v>603</v>
      </c>
      <c r="E174" s="33">
        <v>2603</v>
      </c>
      <c r="F174" s="33" t="s">
        <v>2197</v>
      </c>
      <c r="G174" s="33" t="s">
        <v>2198</v>
      </c>
      <c r="H174" s="33" t="s">
        <v>2199</v>
      </c>
      <c r="I174" s="33" t="s">
        <v>2200</v>
      </c>
      <c r="J174" s="33" t="s">
        <v>810</v>
      </c>
      <c r="K174" s="33" t="s">
        <v>2201</v>
      </c>
      <c r="L174" s="33" t="s">
        <v>2202</v>
      </c>
    </row>
    <row r="175" spans="1:12" ht="12.75">
      <c r="A175" s="33" t="s">
        <v>2203</v>
      </c>
      <c r="B175" s="33" t="s">
        <v>2204</v>
      </c>
      <c r="C175" s="33" t="s">
        <v>2205</v>
      </c>
      <c r="D175" s="33">
        <v>521</v>
      </c>
      <c r="E175" s="33">
        <v>3521</v>
      </c>
      <c r="F175" s="33" t="s">
        <v>2206</v>
      </c>
      <c r="G175" s="33" t="s">
        <v>2207</v>
      </c>
      <c r="H175" s="33" t="s">
        <v>2208</v>
      </c>
      <c r="I175" s="33" t="s">
        <v>2209</v>
      </c>
      <c r="J175" s="33" t="s">
        <v>780</v>
      </c>
      <c r="K175" s="33" t="s">
        <v>2210</v>
      </c>
      <c r="L175" s="33" t="s">
        <v>2211</v>
      </c>
    </row>
    <row r="176" spans="1:12" ht="12.75">
      <c r="A176" s="33" t="s">
        <v>2212</v>
      </c>
      <c r="B176" s="33" t="s">
        <v>2213</v>
      </c>
      <c r="C176" s="33" t="s">
        <v>2214</v>
      </c>
      <c r="D176" s="33">
        <v>501</v>
      </c>
      <c r="E176" s="33">
        <v>2501</v>
      </c>
      <c r="F176" s="33" t="s">
        <v>2215</v>
      </c>
      <c r="G176" s="33" t="s">
        <v>2216</v>
      </c>
      <c r="H176" s="33" t="s">
        <v>2217</v>
      </c>
      <c r="I176" s="33" t="s">
        <v>2218</v>
      </c>
      <c r="J176" s="33" t="s">
        <v>810</v>
      </c>
      <c r="K176" s="33" t="s">
        <v>2219</v>
      </c>
      <c r="L176" s="33" t="s">
        <v>2220</v>
      </c>
    </row>
    <row r="177" spans="1:12" ht="12.75">
      <c r="A177" s="33" t="s">
        <v>2221</v>
      </c>
      <c r="B177" s="33" t="s">
        <v>2222</v>
      </c>
      <c r="C177" s="33" t="s">
        <v>2223</v>
      </c>
      <c r="D177" s="33">
        <v>503</v>
      </c>
      <c r="E177" s="33">
        <v>4503</v>
      </c>
      <c r="F177" s="33" t="s">
        <v>2224</v>
      </c>
      <c r="G177" s="33" t="s">
        <v>2225</v>
      </c>
      <c r="H177" s="33" t="s">
        <v>2226</v>
      </c>
      <c r="I177" s="33" t="s">
        <v>2227</v>
      </c>
      <c r="J177" s="33" t="s">
        <v>790</v>
      </c>
      <c r="K177" s="33" t="s">
        <v>2228</v>
      </c>
      <c r="L177" s="33" t="s">
        <v>2229</v>
      </c>
    </row>
    <row r="178" spans="1:12" ht="12.75">
      <c r="A178" s="33" t="s">
        <v>2230</v>
      </c>
      <c r="B178" s="33" t="s">
        <v>2231</v>
      </c>
      <c r="C178" s="33" t="s">
        <v>2232</v>
      </c>
      <c r="D178" s="33">
        <v>835</v>
      </c>
      <c r="E178" s="33">
        <v>3835</v>
      </c>
      <c r="F178" s="33" t="s">
        <v>2233</v>
      </c>
      <c r="G178" s="33" t="s">
        <v>2234</v>
      </c>
      <c r="H178" s="33" t="s">
        <v>2235</v>
      </c>
      <c r="I178" s="33" t="s">
        <v>2236</v>
      </c>
      <c r="J178" s="33" t="s">
        <v>780</v>
      </c>
      <c r="K178" s="33" t="s">
        <v>2237</v>
      </c>
      <c r="L178" s="33" t="s">
        <v>2238</v>
      </c>
    </row>
    <row r="179" spans="1:12" ht="12.75">
      <c r="A179" s="33" t="s">
        <v>2239</v>
      </c>
      <c r="B179" s="33" t="s">
        <v>2240</v>
      </c>
      <c r="C179" s="33" t="s">
        <v>2241</v>
      </c>
      <c r="D179" s="33">
        <v>647</v>
      </c>
      <c r="E179" s="33">
        <v>3647</v>
      </c>
      <c r="F179" s="33" t="s">
        <v>2242</v>
      </c>
      <c r="G179" s="33" t="s">
        <v>2243</v>
      </c>
      <c r="H179" s="33" t="s">
        <v>2244</v>
      </c>
      <c r="I179" s="33" t="s">
        <v>2245</v>
      </c>
      <c r="J179" s="33" t="s">
        <v>780</v>
      </c>
      <c r="K179" s="33" t="s">
        <v>2246</v>
      </c>
      <c r="L179" s="33" t="s">
        <v>2247</v>
      </c>
    </row>
    <row r="180" spans="1:12" ht="12.75">
      <c r="A180" s="33" t="s">
        <v>2248</v>
      </c>
      <c r="B180" s="33" t="s">
        <v>2249</v>
      </c>
      <c r="C180" s="33" t="s">
        <v>2250</v>
      </c>
      <c r="D180" s="33">
        <v>517</v>
      </c>
      <c r="E180" s="33">
        <v>2517</v>
      </c>
      <c r="F180" s="33" t="s">
        <v>2251</v>
      </c>
      <c r="G180" s="33" t="s">
        <v>2252</v>
      </c>
      <c r="H180" s="33" t="s">
        <v>2253</v>
      </c>
      <c r="I180" s="33" t="s">
        <v>2254</v>
      </c>
      <c r="J180" s="33" t="s">
        <v>810</v>
      </c>
      <c r="K180" s="33" t="s">
        <v>2255</v>
      </c>
      <c r="L180" s="33" t="s">
        <v>2256</v>
      </c>
    </row>
    <row r="181" spans="1:12" ht="12.75">
      <c r="A181" s="33" t="s">
        <v>2257</v>
      </c>
      <c r="B181" s="33" t="s">
        <v>2258</v>
      </c>
      <c r="C181" s="33" t="s">
        <v>2259</v>
      </c>
      <c r="D181" s="33">
        <v>778</v>
      </c>
      <c r="E181" s="33">
        <v>3778</v>
      </c>
      <c r="F181" s="33" t="s">
        <v>2260</v>
      </c>
      <c r="G181" s="33" t="s">
        <v>2261</v>
      </c>
      <c r="H181" s="33" t="s">
        <v>2262</v>
      </c>
      <c r="I181" s="33" t="s">
        <v>2263</v>
      </c>
      <c r="J181" s="33" t="s">
        <v>780</v>
      </c>
      <c r="K181" s="33" t="s">
        <v>2264</v>
      </c>
      <c r="L181" s="33" t="s">
        <v>2265</v>
      </c>
    </row>
    <row r="182" spans="1:12" ht="12.75">
      <c r="A182" s="33" t="s">
        <v>2266</v>
      </c>
      <c r="B182" s="33" t="s">
        <v>2267</v>
      </c>
      <c r="C182" s="33" t="s">
        <v>1470</v>
      </c>
      <c r="D182" s="33">
        <v>347</v>
      </c>
      <c r="E182" s="33">
        <v>2347</v>
      </c>
      <c r="F182" s="33" t="s">
        <v>2268</v>
      </c>
      <c r="G182" s="33" t="s">
        <v>2269</v>
      </c>
      <c r="H182" s="33" t="s">
        <v>2270</v>
      </c>
      <c r="I182" s="33" t="s">
        <v>2271</v>
      </c>
      <c r="J182" s="33" t="s">
        <v>810</v>
      </c>
      <c r="K182" s="33" t="s">
        <v>2272</v>
      </c>
      <c r="L182" s="33" t="s">
        <v>2273</v>
      </c>
    </row>
    <row r="183" spans="1:12" ht="12.75">
      <c r="A183" s="33" t="s">
        <v>2274</v>
      </c>
      <c r="B183" s="33" t="s">
        <v>2275</v>
      </c>
      <c r="C183" s="33" t="s">
        <v>2276</v>
      </c>
      <c r="D183" s="33">
        <v>405</v>
      </c>
      <c r="E183" s="33">
        <v>2405</v>
      </c>
      <c r="F183" s="33" t="s">
        <v>2277</v>
      </c>
      <c r="G183" s="33" t="s">
        <v>2278</v>
      </c>
      <c r="H183" s="33" t="s">
        <v>2279</v>
      </c>
      <c r="I183" s="33" t="s">
        <v>2280</v>
      </c>
      <c r="J183" s="33" t="s">
        <v>810</v>
      </c>
      <c r="K183" s="33" t="s">
        <v>2281</v>
      </c>
      <c r="L183" s="33" t="s">
        <v>2282</v>
      </c>
    </row>
    <row r="184" spans="1:12" ht="12.75">
      <c r="A184" s="33" t="s">
        <v>2283</v>
      </c>
      <c r="B184" s="33" t="s">
        <v>2284</v>
      </c>
      <c r="C184" s="33" t="s">
        <v>2285</v>
      </c>
      <c r="D184" s="33">
        <v>564</v>
      </c>
      <c r="E184" s="33">
        <v>2564</v>
      </c>
      <c r="F184" s="33" t="s">
        <v>2286</v>
      </c>
      <c r="G184" s="33" t="s">
        <v>2287</v>
      </c>
      <c r="H184" s="33" t="s">
        <v>2288</v>
      </c>
      <c r="I184" s="33" t="s">
        <v>2289</v>
      </c>
      <c r="J184" s="33" t="s">
        <v>810</v>
      </c>
      <c r="K184" s="33" t="s">
        <v>2290</v>
      </c>
      <c r="L184" s="33" t="s">
        <v>2291</v>
      </c>
    </row>
    <row r="185" spans="1:12" ht="12.75">
      <c r="A185" s="33" t="s">
        <v>2292</v>
      </c>
      <c r="B185" s="33" t="s">
        <v>2293</v>
      </c>
      <c r="C185" s="33" t="s">
        <v>1687</v>
      </c>
      <c r="D185" s="33">
        <v>523</v>
      </c>
      <c r="E185" s="33">
        <v>2523</v>
      </c>
      <c r="F185" s="33" t="s">
        <v>2294</v>
      </c>
      <c r="G185" s="33" t="s">
        <v>2295</v>
      </c>
      <c r="H185" s="33" t="s">
        <v>2296</v>
      </c>
      <c r="I185" s="33" t="s">
        <v>2297</v>
      </c>
      <c r="J185" s="33" t="s">
        <v>810</v>
      </c>
      <c r="K185" s="33" t="s">
        <v>2298</v>
      </c>
      <c r="L185" s="33" t="s">
        <v>2299</v>
      </c>
    </row>
    <row r="186" spans="1:12" ht="12.75">
      <c r="A186" s="33" t="s">
        <v>2300</v>
      </c>
      <c r="B186" s="33" t="s">
        <v>2301</v>
      </c>
      <c r="C186" s="33" t="s">
        <v>2302</v>
      </c>
      <c r="D186" s="33">
        <v>798</v>
      </c>
      <c r="E186" s="33">
        <v>4798</v>
      </c>
      <c r="F186" s="33" t="s">
        <v>2303</v>
      </c>
      <c r="G186" s="33" t="s">
        <v>2304</v>
      </c>
      <c r="H186" s="33" t="s">
        <v>2305</v>
      </c>
      <c r="I186" s="33" t="s">
        <v>2306</v>
      </c>
      <c r="J186" s="33" t="s">
        <v>790</v>
      </c>
      <c r="K186" s="33" t="s">
        <v>2307</v>
      </c>
      <c r="L186" s="33" t="s">
        <v>2308</v>
      </c>
    </row>
    <row r="187" spans="1:12" ht="12.75">
      <c r="A187" s="33" t="s">
        <v>2309</v>
      </c>
      <c r="B187" s="33" t="s">
        <v>2310</v>
      </c>
      <c r="C187" s="33" t="s">
        <v>2311</v>
      </c>
      <c r="D187" s="33">
        <v>568</v>
      </c>
      <c r="E187" s="33">
        <v>2568</v>
      </c>
      <c r="F187" s="33" t="s">
        <v>2312</v>
      </c>
      <c r="G187" s="33" t="s">
        <v>2313</v>
      </c>
      <c r="H187" s="33" t="s">
        <v>2314</v>
      </c>
      <c r="I187" s="33" t="s">
        <v>2315</v>
      </c>
      <c r="J187" s="33" t="s">
        <v>810</v>
      </c>
      <c r="K187" s="33" t="s">
        <v>2316</v>
      </c>
      <c r="L187" s="33" t="s">
        <v>2317</v>
      </c>
    </row>
    <row r="188" spans="1:12" ht="12.75">
      <c r="A188" s="33" t="s">
        <v>2318</v>
      </c>
      <c r="B188" s="33" t="s">
        <v>2319</v>
      </c>
      <c r="C188" s="33" t="s">
        <v>2320</v>
      </c>
      <c r="D188" s="33">
        <v>799</v>
      </c>
      <c r="E188" s="33">
        <v>1799</v>
      </c>
      <c r="F188" s="33" t="s">
        <v>2321</v>
      </c>
      <c r="G188" s="33" t="s">
        <v>2322</v>
      </c>
      <c r="H188" s="33" t="s">
        <v>2323</v>
      </c>
      <c r="J188" s="33" t="s">
        <v>1692</v>
      </c>
      <c r="L188" s="33" t="s">
        <v>2324</v>
      </c>
    </row>
    <row r="189" spans="1:12" ht="12.75">
      <c r="A189" s="33" t="s">
        <v>2325</v>
      </c>
      <c r="B189" s="33" t="s">
        <v>2326</v>
      </c>
      <c r="C189" s="33" t="s">
        <v>2327</v>
      </c>
      <c r="D189" s="33">
        <v>653</v>
      </c>
      <c r="E189" s="33">
        <v>2653</v>
      </c>
      <c r="F189" s="33" t="s">
        <v>2328</v>
      </c>
      <c r="G189" s="33" t="s">
        <v>2329</v>
      </c>
      <c r="H189" s="33" t="s">
        <v>2330</v>
      </c>
      <c r="I189" s="33" t="s">
        <v>2331</v>
      </c>
      <c r="J189" s="33" t="s">
        <v>810</v>
      </c>
      <c r="K189" s="33" t="s">
        <v>2332</v>
      </c>
      <c r="L189" s="33" t="s">
        <v>2333</v>
      </c>
    </row>
    <row r="190" spans="1:12" ht="12.75">
      <c r="A190" s="33" t="s">
        <v>2334</v>
      </c>
      <c r="B190" s="33" t="s">
        <v>2335</v>
      </c>
      <c r="C190" s="33" t="s">
        <v>2336</v>
      </c>
      <c r="D190" s="33">
        <v>316</v>
      </c>
      <c r="E190" s="33">
        <v>2316</v>
      </c>
      <c r="F190" s="33" t="s">
        <v>2337</v>
      </c>
      <c r="G190" s="33" t="s">
        <v>2338</v>
      </c>
      <c r="H190" s="33" t="s">
        <v>2339</v>
      </c>
      <c r="I190" s="33" t="s">
        <v>2340</v>
      </c>
      <c r="J190" s="33" t="s">
        <v>810</v>
      </c>
      <c r="K190" s="33" t="s">
        <v>2341</v>
      </c>
      <c r="L190" s="33" t="s">
        <v>1053</v>
      </c>
    </row>
    <row r="191" spans="1:12" ht="12.75">
      <c r="A191" s="33" t="s">
        <v>2342</v>
      </c>
      <c r="B191" s="33" t="s">
        <v>2343</v>
      </c>
      <c r="C191" s="33" t="s">
        <v>2344</v>
      </c>
      <c r="D191" s="33">
        <v>822</v>
      </c>
      <c r="E191" s="33">
        <v>2822</v>
      </c>
      <c r="F191" s="33" t="s">
        <v>2345</v>
      </c>
      <c r="G191" s="33" t="s">
        <v>2346</v>
      </c>
      <c r="H191" s="33" t="s">
        <v>2347</v>
      </c>
      <c r="I191" s="33" t="s">
        <v>2348</v>
      </c>
      <c r="J191" s="33" t="s">
        <v>810</v>
      </c>
      <c r="K191" s="33" t="s">
        <v>2349</v>
      </c>
      <c r="L191" s="33" t="s">
        <v>2350</v>
      </c>
    </row>
    <row r="192" spans="1:12" ht="12.75">
      <c r="A192" s="33" t="s">
        <v>2351</v>
      </c>
      <c r="B192" s="33" t="s">
        <v>2352</v>
      </c>
      <c r="C192" s="33" t="s">
        <v>2353</v>
      </c>
      <c r="D192" s="33">
        <v>569</v>
      </c>
      <c r="E192" s="33">
        <v>2569</v>
      </c>
      <c r="F192" s="33" t="s">
        <v>2354</v>
      </c>
      <c r="G192" s="33" t="s">
        <v>2355</v>
      </c>
      <c r="H192" s="33" t="s">
        <v>2356</v>
      </c>
      <c r="I192" s="33" t="s">
        <v>2357</v>
      </c>
      <c r="J192" s="33" t="s">
        <v>810</v>
      </c>
      <c r="K192" s="33" t="s">
        <v>2358</v>
      </c>
      <c r="L192" s="33" t="s">
        <v>2359</v>
      </c>
    </row>
    <row r="193" spans="1:12" ht="12.75">
      <c r="A193" s="33" t="s">
        <v>2360</v>
      </c>
      <c r="D193" s="33">
        <v>1950</v>
      </c>
      <c r="E193" s="33">
        <v>1950</v>
      </c>
    </row>
    <row r="194" spans="1:12" ht="12.75">
      <c r="A194" s="33" t="s">
        <v>2361</v>
      </c>
      <c r="B194" s="33" t="s">
        <v>2362</v>
      </c>
      <c r="C194" s="33" t="s">
        <v>2363</v>
      </c>
      <c r="D194" s="33">
        <v>563</v>
      </c>
      <c r="E194" s="33">
        <v>2563</v>
      </c>
      <c r="F194" s="33" t="s">
        <v>2364</v>
      </c>
      <c r="G194" s="33" t="s">
        <v>2365</v>
      </c>
      <c r="H194" s="33" t="s">
        <v>2366</v>
      </c>
      <c r="I194" s="33" t="s">
        <v>2367</v>
      </c>
      <c r="J194" s="33" t="s">
        <v>810</v>
      </c>
      <c r="K194" s="33" t="s">
        <v>2368</v>
      </c>
      <c r="L194" s="33" t="s">
        <v>2369</v>
      </c>
    </row>
    <row r="195" spans="1:12" ht="12.75">
      <c r="A195" s="33" t="s">
        <v>2370</v>
      </c>
      <c r="B195" s="33" t="s">
        <v>2371</v>
      </c>
      <c r="C195" s="33" t="s">
        <v>2372</v>
      </c>
      <c r="D195" s="33">
        <v>754</v>
      </c>
      <c r="E195" s="33">
        <v>2754</v>
      </c>
      <c r="F195" s="33" t="s">
        <v>2373</v>
      </c>
      <c r="G195" s="33" t="s">
        <v>2374</v>
      </c>
      <c r="H195" s="33" t="s">
        <v>2375</v>
      </c>
      <c r="I195" s="33" t="s">
        <v>2376</v>
      </c>
      <c r="J195" s="33" t="s">
        <v>810</v>
      </c>
      <c r="K195" s="33" t="s">
        <v>2377</v>
      </c>
      <c r="L195" s="33" t="s">
        <v>2378</v>
      </c>
    </row>
    <row r="196" spans="1:12" ht="12.75">
      <c r="A196" s="33" t="s">
        <v>2379</v>
      </c>
      <c r="B196" s="33" t="s">
        <v>2380</v>
      </c>
      <c r="C196" s="33" t="s">
        <v>2381</v>
      </c>
      <c r="D196" s="33">
        <v>755</v>
      </c>
      <c r="E196" s="33">
        <v>3755</v>
      </c>
      <c r="F196" s="33" t="s">
        <v>2382</v>
      </c>
      <c r="G196" s="33" t="s">
        <v>2383</v>
      </c>
      <c r="H196" s="33" t="s">
        <v>2384</v>
      </c>
      <c r="I196" s="33" t="s">
        <v>2385</v>
      </c>
      <c r="J196" s="33" t="s">
        <v>780</v>
      </c>
      <c r="K196" s="33" t="s">
        <v>2386</v>
      </c>
      <c r="L196" s="33" t="s">
        <v>2387</v>
      </c>
    </row>
    <row r="197" spans="1:12" ht="12.75">
      <c r="A197" s="33" t="s">
        <v>2388</v>
      </c>
      <c r="B197" s="33" t="s">
        <v>2389</v>
      </c>
      <c r="C197" s="33" t="s">
        <v>2390</v>
      </c>
      <c r="D197" s="33">
        <v>748</v>
      </c>
      <c r="E197" s="33">
        <v>4748</v>
      </c>
      <c r="F197" s="33" t="s">
        <v>2391</v>
      </c>
      <c r="G197" s="33" t="s">
        <v>2392</v>
      </c>
      <c r="H197" s="33" t="s">
        <v>2393</v>
      </c>
      <c r="I197" s="33" t="s">
        <v>2394</v>
      </c>
      <c r="J197" s="33" t="s">
        <v>2395</v>
      </c>
      <c r="K197" s="33" t="s">
        <v>2396</v>
      </c>
      <c r="L197" s="33" t="s">
        <v>2397</v>
      </c>
    </row>
    <row r="198" spans="1:12" ht="12.75">
      <c r="A198" s="33" t="s">
        <v>2398</v>
      </c>
      <c r="B198" s="33" t="s">
        <v>2399</v>
      </c>
      <c r="C198" s="33" t="s">
        <v>2400</v>
      </c>
      <c r="D198" s="33">
        <v>234</v>
      </c>
      <c r="E198" s="33">
        <v>4234</v>
      </c>
      <c r="F198" s="33" t="s">
        <v>2401</v>
      </c>
      <c r="G198" s="33" t="s">
        <v>2402</v>
      </c>
      <c r="H198" s="33" t="s">
        <v>2403</v>
      </c>
      <c r="I198" s="33" t="s">
        <v>2404</v>
      </c>
      <c r="J198" s="33" t="s">
        <v>790</v>
      </c>
      <c r="K198" s="33" t="s">
        <v>2405</v>
      </c>
      <c r="L198" s="33" t="s">
        <v>2350</v>
      </c>
    </row>
    <row r="199" spans="1:12" ht="12.75">
      <c r="A199" s="33" t="s">
        <v>2406</v>
      </c>
      <c r="B199" s="33" t="s">
        <v>2407</v>
      </c>
      <c r="C199" s="33" t="s">
        <v>2408</v>
      </c>
      <c r="D199" s="33">
        <v>428</v>
      </c>
      <c r="E199" s="33">
        <v>3428</v>
      </c>
      <c r="F199" s="33" t="s">
        <v>2409</v>
      </c>
      <c r="G199" s="33" t="s">
        <v>2410</v>
      </c>
      <c r="H199" s="33" t="s">
        <v>2411</v>
      </c>
      <c r="I199" s="33" t="s">
        <v>2412</v>
      </c>
      <c r="J199" s="33" t="s">
        <v>780</v>
      </c>
      <c r="K199" s="33" t="s">
        <v>1061</v>
      </c>
      <c r="L199" s="33" t="s">
        <v>2413</v>
      </c>
    </row>
    <row r="200" spans="1:12" ht="12.75">
      <c r="A200" s="33" t="s">
        <v>2414</v>
      </c>
      <c r="B200" s="33" t="s">
        <v>2415</v>
      </c>
      <c r="C200" s="33" t="s">
        <v>2416</v>
      </c>
      <c r="D200" s="33">
        <v>244</v>
      </c>
      <c r="E200" s="33">
        <v>2244</v>
      </c>
      <c r="F200" s="33" t="s">
        <v>2417</v>
      </c>
      <c r="G200" s="33" t="s">
        <v>2418</v>
      </c>
      <c r="H200" s="33" t="s">
        <v>2419</v>
      </c>
      <c r="I200" s="33" t="s">
        <v>2420</v>
      </c>
      <c r="J200" s="33" t="s">
        <v>810</v>
      </c>
      <c r="K200" s="33" t="s">
        <v>2421</v>
      </c>
      <c r="L200" s="33" t="s">
        <v>2422</v>
      </c>
    </row>
    <row r="201" spans="1:12" ht="12.75">
      <c r="A201" s="33" t="s">
        <v>2423</v>
      </c>
      <c r="B201" s="33" t="s">
        <v>2424</v>
      </c>
      <c r="C201" s="33" t="s">
        <v>2425</v>
      </c>
      <c r="D201" s="33">
        <v>232</v>
      </c>
      <c r="E201" s="33">
        <v>3232</v>
      </c>
      <c r="F201" s="33" t="s">
        <v>2426</v>
      </c>
      <c r="G201" s="33" t="s">
        <v>2427</v>
      </c>
      <c r="H201" s="33" t="s">
        <v>2428</v>
      </c>
      <c r="I201" s="33" t="s">
        <v>2429</v>
      </c>
      <c r="J201" s="33" t="s">
        <v>780</v>
      </c>
      <c r="K201" s="33" t="s">
        <v>2430</v>
      </c>
      <c r="L201" s="33" t="s">
        <v>2431</v>
      </c>
    </row>
    <row r="202" spans="1:12" ht="12.75">
      <c r="A202" s="33" t="s">
        <v>2432</v>
      </c>
      <c r="B202" s="33" t="s">
        <v>2433</v>
      </c>
      <c r="C202" s="33" t="s">
        <v>2434</v>
      </c>
      <c r="D202" s="33">
        <v>216</v>
      </c>
      <c r="E202" s="33">
        <v>2216</v>
      </c>
      <c r="F202" s="33" t="s">
        <v>2435</v>
      </c>
      <c r="G202" s="33" t="s">
        <v>2436</v>
      </c>
      <c r="H202" s="33" t="s">
        <v>2437</v>
      </c>
      <c r="I202" s="33" t="s">
        <v>2438</v>
      </c>
      <c r="J202" s="33" t="s">
        <v>810</v>
      </c>
      <c r="K202" s="33" t="s">
        <v>2439</v>
      </c>
      <c r="L202" s="33" t="s">
        <v>2440</v>
      </c>
    </row>
    <row r="203" spans="1:12" ht="12.75">
      <c r="A203" s="33" t="s">
        <v>2441</v>
      </c>
      <c r="B203" s="33" t="s">
        <v>2442</v>
      </c>
      <c r="C203" s="33" t="s">
        <v>2443</v>
      </c>
      <c r="D203" s="33">
        <v>206</v>
      </c>
      <c r="E203" s="33">
        <v>2206</v>
      </c>
      <c r="F203" s="33" t="s">
        <v>2444</v>
      </c>
      <c r="G203" s="33" t="s">
        <v>2445</v>
      </c>
      <c r="H203" s="33" t="s">
        <v>2446</v>
      </c>
      <c r="I203" s="33" t="s">
        <v>2447</v>
      </c>
      <c r="J203" s="33" t="s">
        <v>810</v>
      </c>
      <c r="K203" s="33" t="s">
        <v>2448</v>
      </c>
      <c r="L203" s="33" t="s">
        <v>2449</v>
      </c>
    </row>
    <row r="204" spans="1:12" ht="12.75">
      <c r="A204" s="33" t="s">
        <v>2450</v>
      </c>
      <c r="B204" s="33" t="s">
        <v>2451</v>
      </c>
      <c r="C204" s="33" t="s">
        <v>1488</v>
      </c>
      <c r="D204" s="33">
        <v>1942</v>
      </c>
      <c r="E204" s="33">
        <v>1942</v>
      </c>
    </row>
    <row r="205" spans="1:12" ht="12.75">
      <c r="A205" s="33" t="s">
        <v>2452</v>
      </c>
      <c r="B205" s="33" t="s">
        <v>2453</v>
      </c>
      <c r="C205" s="33" t="s">
        <v>2454</v>
      </c>
      <c r="D205" s="33">
        <v>772</v>
      </c>
      <c r="E205" s="33">
        <v>2772</v>
      </c>
      <c r="F205" s="33" t="s">
        <v>2455</v>
      </c>
      <c r="G205" s="33" t="s">
        <v>2456</v>
      </c>
      <c r="H205" s="33" t="s">
        <v>2457</v>
      </c>
      <c r="I205" s="33" t="s">
        <v>2458</v>
      </c>
      <c r="J205" s="33" t="s">
        <v>810</v>
      </c>
      <c r="K205" s="33" t="s">
        <v>2459</v>
      </c>
      <c r="L205" s="33" t="s">
        <v>2460</v>
      </c>
    </row>
    <row r="206" spans="1:12" ht="12.75">
      <c r="A206" s="33" t="s">
        <v>2461</v>
      </c>
      <c r="B206" s="33" t="s">
        <v>2462</v>
      </c>
      <c r="C206" s="33" t="s">
        <v>2463</v>
      </c>
      <c r="D206" s="33">
        <v>427</v>
      </c>
      <c r="E206" s="33">
        <v>4427</v>
      </c>
      <c r="F206" s="33" t="s">
        <v>2464</v>
      </c>
      <c r="G206" s="33" t="s">
        <v>2465</v>
      </c>
      <c r="H206" s="33" t="s">
        <v>2466</v>
      </c>
      <c r="I206" s="33" t="s">
        <v>2467</v>
      </c>
      <c r="J206" s="33" t="s">
        <v>790</v>
      </c>
      <c r="K206" s="33" t="s">
        <v>2468</v>
      </c>
      <c r="L206" s="33" t="s">
        <v>2469</v>
      </c>
    </row>
    <row r="207" spans="1:12" ht="12.75">
      <c r="A207" s="33" t="s">
        <v>2470</v>
      </c>
      <c r="B207" s="33" t="s">
        <v>2471</v>
      </c>
      <c r="C207" s="33" t="s">
        <v>2472</v>
      </c>
      <c r="D207" s="33">
        <v>424</v>
      </c>
      <c r="E207" s="33">
        <v>4424</v>
      </c>
      <c r="F207" s="33" t="s">
        <v>2473</v>
      </c>
      <c r="G207" s="33" t="s">
        <v>2474</v>
      </c>
      <c r="H207" s="33" t="s">
        <v>2475</v>
      </c>
      <c r="I207" s="33" t="s">
        <v>2476</v>
      </c>
      <c r="J207" s="33" t="s">
        <v>790</v>
      </c>
      <c r="K207" s="33" t="s">
        <v>2477</v>
      </c>
      <c r="L207" s="33" t="s">
        <v>2478</v>
      </c>
    </row>
    <row r="208" spans="1:12" ht="12.75">
      <c r="A208" s="33" t="s">
        <v>2479</v>
      </c>
      <c r="B208" s="33" t="s">
        <v>2480</v>
      </c>
      <c r="C208" s="33" t="s">
        <v>2481</v>
      </c>
      <c r="D208" s="33">
        <v>552</v>
      </c>
      <c r="E208" s="33">
        <v>2552</v>
      </c>
      <c r="F208" s="33" t="s">
        <v>2482</v>
      </c>
      <c r="G208" s="33" t="s">
        <v>2483</v>
      </c>
      <c r="H208" s="33" t="s">
        <v>2484</v>
      </c>
      <c r="I208" s="33" t="s">
        <v>2485</v>
      </c>
      <c r="J208" s="33" t="s">
        <v>810</v>
      </c>
      <c r="K208" s="33" t="s">
        <v>2486</v>
      </c>
      <c r="L208" s="33" t="s">
        <v>2487</v>
      </c>
    </row>
    <row r="209" spans="1:12" ht="12.75">
      <c r="A209" s="33" t="s">
        <v>2488</v>
      </c>
      <c r="B209" s="33" t="s">
        <v>2489</v>
      </c>
      <c r="C209" s="33" t="s">
        <v>2490</v>
      </c>
      <c r="D209" s="33">
        <v>109</v>
      </c>
      <c r="E209" s="33">
        <v>2109</v>
      </c>
      <c r="F209" s="33" t="s">
        <v>2491</v>
      </c>
      <c r="G209" s="33" t="s">
        <v>2492</v>
      </c>
      <c r="H209" s="33" t="s">
        <v>2493</v>
      </c>
      <c r="I209" s="33" t="s">
        <v>2494</v>
      </c>
      <c r="J209" s="33" t="s">
        <v>810</v>
      </c>
      <c r="K209" s="33" t="s">
        <v>2495</v>
      </c>
      <c r="L209" s="33" t="s">
        <v>2496</v>
      </c>
    </row>
    <row r="210" spans="1:12" ht="12.75">
      <c r="A210" s="33" t="s">
        <v>2497</v>
      </c>
      <c r="B210" s="33" t="s">
        <v>2498</v>
      </c>
      <c r="C210" s="33" t="s">
        <v>2499</v>
      </c>
      <c r="D210" s="33">
        <v>561</v>
      </c>
      <c r="E210" s="33">
        <v>2561</v>
      </c>
      <c r="F210" s="33" t="s">
        <v>2500</v>
      </c>
      <c r="G210" s="33" t="s">
        <v>2501</v>
      </c>
      <c r="H210" s="33" t="s">
        <v>2502</v>
      </c>
      <c r="I210" s="33" t="s">
        <v>2503</v>
      </c>
      <c r="J210" s="33" t="s">
        <v>810</v>
      </c>
      <c r="K210" s="33" t="s">
        <v>2504</v>
      </c>
      <c r="L210" s="33" t="s">
        <v>2505</v>
      </c>
    </row>
    <row r="211" spans="1:12" ht="12.75">
      <c r="A211" s="33" t="s">
        <v>2506</v>
      </c>
      <c r="B211" s="33" t="s">
        <v>2507</v>
      </c>
      <c r="C211" s="33" t="s">
        <v>2508</v>
      </c>
      <c r="D211" s="33">
        <v>545</v>
      </c>
      <c r="E211" s="33">
        <v>4545</v>
      </c>
      <c r="F211" s="33" t="s">
        <v>2509</v>
      </c>
      <c r="G211" s="33" t="s">
        <v>2510</v>
      </c>
      <c r="H211" s="33" t="s">
        <v>2511</v>
      </c>
      <c r="I211" s="33" t="s">
        <v>2512</v>
      </c>
      <c r="J211" s="33" t="s">
        <v>790</v>
      </c>
      <c r="K211" s="33" t="s">
        <v>2513</v>
      </c>
      <c r="L211" s="33" t="s">
        <v>2514</v>
      </c>
    </row>
    <row r="212" spans="1:12" ht="12.75">
      <c r="A212" s="33" t="s">
        <v>2515</v>
      </c>
      <c r="B212" s="33" t="s">
        <v>2516</v>
      </c>
      <c r="C212" s="33" t="s">
        <v>2517</v>
      </c>
      <c r="D212" s="33">
        <v>235</v>
      </c>
      <c r="E212" s="33">
        <v>2235</v>
      </c>
      <c r="F212" s="33" t="s">
        <v>2518</v>
      </c>
      <c r="G212" s="33" t="s">
        <v>2519</v>
      </c>
      <c r="H212" s="33" t="s">
        <v>2520</v>
      </c>
      <c r="I212" s="33" t="s">
        <v>2521</v>
      </c>
      <c r="J212" s="33" t="s">
        <v>810</v>
      </c>
      <c r="K212" s="33" t="s">
        <v>2522</v>
      </c>
      <c r="L212" s="33" t="s">
        <v>2523</v>
      </c>
    </row>
    <row r="213" spans="1:12" ht="12.75">
      <c r="A213" s="33" t="s">
        <v>2524</v>
      </c>
      <c r="B213" s="33" t="s">
        <v>2525</v>
      </c>
      <c r="C213" s="33" t="s">
        <v>859</v>
      </c>
      <c r="D213" s="33">
        <v>777</v>
      </c>
      <c r="E213" s="33">
        <v>2777</v>
      </c>
      <c r="F213" s="33" t="s">
        <v>2526</v>
      </c>
      <c r="G213" s="33" t="s">
        <v>2527</v>
      </c>
      <c r="H213" s="33" t="s">
        <v>2528</v>
      </c>
      <c r="I213" s="33" t="s">
        <v>2529</v>
      </c>
      <c r="J213" s="33" t="s">
        <v>810</v>
      </c>
      <c r="K213" s="33" t="s">
        <v>2530</v>
      </c>
      <c r="L213" s="33" t="s">
        <v>2531</v>
      </c>
    </row>
    <row r="214" spans="1:12" ht="12.75">
      <c r="A214" s="33" t="s">
        <v>2532</v>
      </c>
      <c r="B214" s="33" t="s">
        <v>2533</v>
      </c>
      <c r="C214" s="33" t="s">
        <v>2534</v>
      </c>
      <c r="D214" s="33">
        <v>408</v>
      </c>
      <c r="E214" s="33">
        <v>2408</v>
      </c>
      <c r="F214" s="33" t="s">
        <v>2535</v>
      </c>
      <c r="G214" s="33" t="s">
        <v>2536</v>
      </c>
      <c r="H214" s="33" t="s">
        <v>2537</v>
      </c>
      <c r="I214" s="33" t="s">
        <v>2538</v>
      </c>
      <c r="J214" s="33" t="s">
        <v>810</v>
      </c>
      <c r="K214" s="33" t="s">
        <v>2539</v>
      </c>
      <c r="L214" s="33" t="s">
        <v>2540</v>
      </c>
    </row>
    <row r="215" spans="1:12" ht="12.75">
      <c r="A215" s="33" t="s">
        <v>2541</v>
      </c>
      <c r="B215" s="33" t="s">
        <v>2542</v>
      </c>
      <c r="C215" s="33" t="s">
        <v>2543</v>
      </c>
      <c r="D215" s="33">
        <v>412</v>
      </c>
      <c r="E215" s="33">
        <v>3412</v>
      </c>
      <c r="F215" s="33" t="s">
        <v>2544</v>
      </c>
      <c r="G215" s="33" t="s">
        <v>2545</v>
      </c>
      <c r="H215" s="33" t="s">
        <v>2546</v>
      </c>
      <c r="I215" s="33" t="s">
        <v>2547</v>
      </c>
      <c r="J215" s="33" t="s">
        <v>780</v>
      </c>
      <c r="K215" s="33" t="s">
        <v>2548</v>
      </c>
      <c r="L215" s="33" t="s">
        <v>2549</v>
      </c>
    </row>
    <row r="216" spans="1:12" ht="12.75">
      <c r="A216" s="33" t="s">
        <v>2550</v>
      </c>
      <c r="B216" s="33" t="s">
        <v>2551</v>
      </c>
      <c r="C216" s="33" t="s">
        <v>2552</v>
      </c>
      <c r="D216" s="33">
        <v>504</v>
      </c>
      <c r="E216" s="33">
        <v>2504</v>
      </c>
      <c r="F216" s="33" t="s">
        <v>2553</v>
      </c>
      <c r="G216" s="33" t="s">
        <v>2554</v>
      </c>
      <c r="H216" s="33" t="s">
        <v>2555</v>
      </c>
      <c r="I216" s="33" t="s">
        <v>2556</v>
      </c>
      <c r="J216" s="33" t="s">
        <v>810</v>
      </c>
      <c r="K216" s="33" t="s">
        <v>2557</v>
      </c>
      <c r="L216" s="33" t="s">
        <v>2558</v>
      </c>
    </row>
    <row r="217" spans="1:12" ht="12.75">
      <c r="A217" s="33" t="s">
        <v>2559</v>
      </c>
      <c r="B217" s="33" t="s">
        <v>2560</v>
      </c>
      <c r="C217" s="33" t="s">
        <v>2561</v>
      </c>
      <c r="D217" s="33">
        <v>782</v>
      </c>
      <c r="E217" s="33">
        <v>4782</v>
      </c>
      <c r="F217" s="33" t="s">
        <v>2562</v>
      </c>
      <c r="G217" s="33" t="s">
        <v>2563</v>
      </c>
      <c r="H217" s="33" t="s">
        <v>2564</v>
      </c>
      <c r="I217" s="33" t="s">
        <v>2565</v>
      </c>
      <c r="J217" s="33" t="s">
        <v>790</v>
      </c>
      <c r="K217" s="33" t="s">
        <v>2566</v>
      </c>
      <c r="L217" s="33" t="s">
        <v>2567</v>
      </c>
    </row>
    <row r="218" spans="1:12" ht="12.75">
      <c r="A218" s="33" t="s">
        <v>2568</v>
      </c>
      <c r="B218" s="33" t="s">
        <v>2569</v>
      </c>
      <c r="C218" s="33" t="s">
        <v>2570</v>
      </c>
      <c r="D218" s="33">
        <v>788</v>
      </c>
      <c r="E218" s="33">
        <v>2788</v>
      </c>
      <c r="F218" s="33" t="s">
        <v>2571</v>
      </c>
      <c r="G218" s="33" t="s">
        <v>2572</v>
      </c>
      <c r="H218" s="33" t="s">
        <v>2573</v>
      </c>
      <c r="I218" s="33" t="s">
        <v>2574</v>
      </c>
      <c r="J218" s="33" t="s">
        <v>810</v>
      </c>
      <c r="K218" s="33" t="s">
        <v>2575</v>
      </c>
      <c r="L218" s="33" t="s">
        <v>2576</v>
      </c>
    </row>
    <row r="219" spans="1:12" ht="12.75">
      <c r="A219" s="33" t="s">
        <v>2577</v>
      </c>
      <c r="B219" s="33" t="s">
        <v>2578</v>
      </c>
      <c r="C219" s="33" t="s">
        <v>2579</v>
      </c>
      <c r="D219" s="33">
        <v>558</v>
      </c>
      <c r="E219" s="33">
        <v>2558</v>
      </c>
      <c r="F219" s="33" t="s">
        <v>2580</v>
      </c>
      <c r="G219" s="33" t="s">
        <v>2581</v>
      </c>
      <c r="H219" s="33" t="s">
        <v>2582</v>
      </c>
      <c r="I219" s="33" t="s">
        <v>2583</v>
      </c>
      <c r="J219" s="33" t="s">
        <v>810</v>
      </c>
      <c r="K219" s="33" t="s">
        <v>2584</v>
      </c>
      <c r="L219" s="33" t="s">
        <v>2585</v>
      </c>
    </row>
    <row r="220" spans="1:12" ht="12.75">
      <c r="A220" s="33" t="s">
        <v>2586</v>
      </c>
      <c r="B220" s="33" t="s">
        <v>2587</v>
      </c>
      <c r="C220" s="33" t="s">
        <v>2588</v>
      </c>
      <c r="D220" s="33">
        <v>811</v>
      </c>
      <c r="E220" s="33">
        <v>3811</v>
      </c>
      <c r="F220" s="33" t="s">
        <v>2589</v>
      </c>
      <c r="G220" s="33" t="s">
        <v>2590</v>
      </c>
      <c r="H220" s="33" t="s">
        <v>2591</v>
      </c>
      <c r="I220" s="33" t="s">
        <v>2592</v>
      </c>
      <c r="J220" s="33" t="s">
        <v>780</v>
      </c>
      <c r="K220" s="33" t="s">
        <v>2593</v>
      </c>
      <c r="L220" s="33" t="s">
        <v>2594</v>
      </c>
    </row>
    <row r="221" spans="1:12" ht="12.75">
      <c r="A221" s="33" t="s">
        <v>2595</v>
      </c>
      <c r="B221" s="33" t="s">
        <v>2596</v>
      </c>
      <c r="C221" s="33" t="s">
        <v>2597</v>
      </c>
      <c r="D221" s="33">
        <v>337</v>
      </c>
      <c r="E221" s="33">
        <v>2337</v>
      </c>
      <c r="F221" s="33" t="s">
        <v>2598</v>
      </c>
      <c r="G221" s="33" t="s">
        <v>2599</v>
      </c>
      <c r="H221" s="33" t="s">
        <v>2600</v>
      </c>
      <c r="I221" s="33" t="s">
        <v>2601</v>
      </c>
      <c r="J221" s="33" t="s">
        <v>810</v>
      </c>
      <c r="K221" s="33" t="s">
        <v>2602</v>
      </c>
      <c r="L221" s="33" t="s">
        <v>2603</v>
      </c>
    </row>
    <row r="222" spans="1:12" ht="12.75">
      <c r="A222" s="33" t="s">
        <v>2604</v>
      </c>
      <c r="B222" s="33" t="s">
        <v>2605</v>
      </c>
      <c r="C222" s="33" t="s">
        <v>2606</v>
      </c>
      <c r="D222" s="33">
        <v>507</v>
      </c>
      <c r="E222" s="33">
        <v>3507</v>
      </c>
      <c r="F222" s="33" t="s">
        <v>2607</v>
      </c>
      <c r="G222" s="33" t="s">
        <v>2608</v>
      </c>
      <c r="H222" s="33" t="s">
        <v>2609</v>
      </c>
      <c r="I222" s="33" t="s">
        <v>2610</v>
      </c>
      <c r="J222" s="33" t="s">
        <v>780</v>
      </c>
      <c r="K222" s="33" t="s">
        <v>2611</v>
      </c>
      <c r="L222" s="33" t="s">
        <v>2612</v>
      </c>
    </row>
    <row r="223" spans="1:12" ht="12.75">
      <c r="A223" s="33" t="s">
        <v>2613</v>
      </c>
      <c r="B223" s="33" t="s">
        <v>2614</v>
      </c>
      <c r="C223" s="33" t="s">
        <v>2615</v>
      </c>
      <c r="D223" s="33">
        <v>312</v>
      </c>
      <c r="E223" s="33">
        <v>2312</v>
      </c>
      <c r="F223" s="33" t="s">
        <v>2616</v>
      </c>
      <c r="G223" s="33" t="s">
        <v>2617</v>
      </c>
      <c r="H223" s="33" t="s">
        <v>2618</v>
      </c>
      <c r="I223" s="33" t="s">
        <v>2619</v>
      </c>
      <c r="J223" s="33" t="s">
        <v>810</v>
      </c>
      <c r="K223" s="33" t="s">
        <v>2620</v>
      </c>
      <c r="L223" s="33" t="s">
        <v>792</v>
      </c>
    </row>
    <row r="224" spans="1:12" ht="12.75">
      <c r="A224" s="33" t="s">
        <v>2621</v>
      </c>
      <c r="B224" s="33" t="s">
        <v>2622</v>
      </c>
      <c r="C224" s="33" t="s">
        <v>1470</v>
      </c>
      <c r="D224" s="33">
        <v>341</v>
      </c>
      <c r="E224" s="33">
        <v>2341</v>
      </c>
      <c r="F224" s="33" t="s">
        <v>2623</v>
      </c>
      <c r="G224" s="33" t="s">
        <v>2624</v>
      </c>
      <c r="H224" s="33" t="s">
        <v>2625</v>
      </c>
      <c r="I224" s="33" t="s">
        <v>2626</v>
      </c>
      <c r="J224" s="33" t="s">
        <v>810</v>
      </c>
      <c r="K224" s="33" t="s">
        <v>2627</v>
      </c>
      <c r="L224" s="33" t="s">
        <v>2628</v>
      </c>
    </row>
    <row r="225" spans="1:12" ht="12.75">
      <c r="A225" s="33" t="s">
        <v>2629</v>
      </c>
      <c r="B225" s="33" t="s">
        <v>2630</v>
      </c>
      <c r="C225" s="33" t="s">
        <v>2631</v>
      </c>
      <c r="D225" s="33">
        <v>602</v>
      </c>
      <c r="E225" s="33">
        <v>4602</v>
      </c>
      <c r="F225" s="33" t="s">
        <v>2632</v>
      </c>
      <c r="G225" s="33" t="s">
        <v>2633</v>
      </c>
      <c r="H225" s="33" t="s">
        <v>2634</v>
      </c>
      <c r="I225" s="33" t="s">
        <v>2635</v>
      </c>
      <c r="J225" s="33" t="s">
        <v>790</v>
      </c>
      <c r="K225" s="33" t="s">
        <v>2636</v>
      </c>
      <c r="L225" s="33" t="s">
        <v>2637</v>
      </c>
    </row>
    <row r="226" spans="1:12" ht="12.75">
      <c r="A226" s="33" t="s">
        <v>2638</v>
      </c>
      <c r="B226" s="33" t="s">
        <v>2639</v>
      </c>
      <c r="C226" s="33" t="s">
        <v>2640</v>
      </c>
      <c r="D226" s="33">
        <v>417</v>
      </c>
      <c r="E226" s="33">
        <v>2417</v>
      </c>
      <c r="F226" s="33" t="s">
        <v>2641</v>
      </c>
      <c r="G226" s="33" t="s">
        <v>2642</v>
      </c>
      <c r="H226" s="33" t="s">
        <v>2643</v>
      </c>
      <c r="I226" s="33" t="s">
        <v>2644</v>
      </c>
      <c r="J226" s="33" t="s">
        <v>810</v>
      </c>
      <c r="K226" s="33" t="s">
        <v>2645</v>
      </c>
      <c r="L226" s="33" t="s">
        <v>2646</v>
      </c>
    </row>
    <row r="227" spans="1:12" ht="12.75">
      <c r="A227" s="33" t="s">
        <v>2647</v>
      </c>
      <c r="B227" s="33" t="s">
        <v>2648</v>
      </c>
      <c r="C227" s="33" t="s">
        <v>2649</v>
      </c>
      <c r="D227" s="33">
        <v>704</v>
      </c>
      <c r="E227" s="33">
        <v>2704</v>
      </c>
      <c r="F227" s="33" t="s">
        <v>2650</v>
      </c>
      <c r="G227" s="33" t="s">
        <v>2651</v>
      </c>
      <c r="H227" s="33" t="s">
        <v>2652</v>
      </c>
      <c r="I227" s="33" t="s">
        <v>2653</v>
      </c>
      <c r="J227" s="33" t="s">
        <v>810</v>
      </c>
      <c r="K227" s="33" t="s">
        <v>2654</v>
      </c>
      <c r="L227" s="33" t="s">
        <v>2655</v>
      </c>
    </row>
    <row r="228" spans="1:12" ht="12.75">
      <c r="A228" s="33" t="s">
        <v>2656</v>
      </c>
      <c r="B228" s="33" t="s">
        <v>2657</v>
      </c>
      <c r="C228" s="33" t="s">
        <v>2658</v>
      </c>
      <c r="D228" s="33">
        <v>764</v>
      </c>
      <c r="E228" s="33">
        <v>2764</v>
      </c>
      <c r="F228" s="33" t="s">
        <v>2659</v>
      </c>
      <c r="G228" s="33" t="s">
        <v>2660</v>
      </c>
      <c r="H228" s="33" t="s">
        <v>2661</v>
      </c>
      <c r="I228" s="33" t="s">
        <v>2662</v>
      </c>
      <c r="J228" s="33" t="s">
        <v>810</v>
      </c>
      <c r="K228" s="33" t="s">
        <v>2663</v>
      </c>
      <c r="L228" s="33" t="s">
        <v>2664</v>
      </c>
    </row>
    <row r="229" spans="1:12" ht="12.75">
      <c r="A229" s="33" t="s">
        <v>2665</v>
      </c>
      <c r="B229" s="33" t="s">
        <v>2666</v>
      </c>
      <c r="C229" s="33" t="s">
        <v>2667</v>
      </c>
      <c r="D229" s="33">
        <v>422</v>
      </c>
      <c r="E229" s="33">
        <v>2422</v>
      </c>
      <c r="F229" s="33" t="s">
        <v>2668</v>
      </c>
      <c r="G229" s="33" t="s">
        <v>2669</v>
      </c>
      <c r="H229" s="33" t="s">
        <v>2670</v>
      </c>
      <c r="I229" s="33" t="s">
        <v>2671</v>
      </c>
      <c r="J229" s="33" t="s">
        <v>810</v>
      </c>
      <c r="K229" s="33" t="s">
        <v>2672</v>
      </c>
      <c r="L229" s="33" t="s">
        <v>2673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</vt:lpstr>
      <vt:lpstr>FY23</vt:lpstr>
      <vt:lpstr>Copy of FY22</vt:lpstr>
      <vt:lpstr>SFSS import</vt:lpstr>
      <vt:lpstr>Synergy import (8232022)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Collins, Desmond O</cp:lastModifiedBy>
  <dcterms:modified xsi:type="dcterms:W3CDTF">2024-01-29T20:51:31Z</dcterms:modified>
</cp:coreProperties>
</file>